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F-SECRETARIA\Desktop\Secretaria de Admistração Diogo\Licitação 2023\Editais\Edital Transporte\"/>
    </mc:Choice>
  </mc:AlternateContent>
  <bookViews>
    <workbookView xWindow="0" yWindow="0" windowWidth="28800" windowHeight="12300"/>
  </bookViews>
  <sheets>
    <sheet name="Onibus 12 lugares" sheetId="16" r:id="rId1"/>
    <sheet name="Custo Mão de Obra" sheetId="2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6" l="1"/>
  <c r="D22" i="16"/>
  <c r="E22" i="16" s="1"/>
  <c r="F22" i="16" s="1"/>
  <c r="G22" i="16" s="1"/>
  <c r="F23" i="16"/>
  <c r="G23" i="16" s="1"/>
  <c r="E23" i="16"/>
  <c r="F20" i="16"/>
  <c r="D12" i="16"/>
  <c r="F12" i="16" s="1"/>
  <c r="F11" i="16"/>
  <c r="D11" i="16" s="1"/>
  <c r="E19" i="16"/>
  <c r="F19" i="16" s="1"/>
  <c r="B183" i="21"/>
  <c r="B182" i="21"/>
  <c r="B181" i="21"/>
  <c r="B180" i="21"/>
  <c r="D179" i="21"/>
  <c r="B179" i="21"/>
  <c r="D173" i="21"/>
  <c r="C167" i="21"/>
  <c r="D172" i="21" s="1"/>
  <c r="D175" i="21" s="1"/>
  <c r="G149" i="21"/>
  <c r="G148" i="21"/>
  <c r="G147" i="21"/>
  <c r="G146" i="21"/>
  <c r="F150" i="21" s="1"/>
  <c r="G143" i="21"/>
  <c r="G142" i="21"/>
  <c r="G141" i="21"/>
  <c r="G140" i="21"/>
  <c r="F144" i="21" s="1"/>
  <c r="C155" i="21" s="1"/>
  <c r="D155" i="21" s="1"/>
  <c r="G139" i="21"/>
  <c r="E127" i="21"/>
  <c r="G127" i="21" s="1"/>
  <c r="E126" i="21"/>
  <c r="G126" i="21" s="1"/>
  <c r="F128" i="21" s="1"/>
  <c r="E122" i="21"/>
  <c r="G122" i="21" s="1"/>
  <c r="G121" i="21"/>
  <c r="E121" i="21"/>
  <c r="G120" i="21"/>
  <c r="F123" i="21" s="1"/>
  <c r="E120" i="21"/>
  <c r="G115" i="21"/>
  <c r="E115" i="21"/>
  <c r="G114" i="21"/>
  <c r="E114" i="21"/>
  <c r="E113" i="21"/>
  <c r="G113" i="21" s="1"/>
  <c r="E112" i="21"/>
  <c r="G112" i="21" s="1"/>
  <c r="F116" i="21" s="1"/>
  <c r="E108" i="21"/>
  <c r="G108" i="21" s="1"/>
  <c r="E107" i="21"/>
  <c r="G107" i="21" s="1"/>
  <c r="E106" i="21"/>
  <c r="G106" i="21" s="1"/>
  <c r="C99" i="21"/>
  <c r="G90" i="21"/>
  <c r="F95" i="21" s="1"/>
  <c r="E88" i="21"/>
  <c r="E87" i="21"/>
  <c r="F87" i="21" s="1"/>
  <c r="F86" i="21"/>
  <c r="F85" i="21"/>
  <c r="F84" i="21"/>
  <c r="E83" i="21"/>
  <c r="F83" i="21" s="1"/>
  <c r="F82" i="21"/>
  <c r="F81" i="21"/>
  <c r="E81" i="21"/>
  <c r="F80" i="21"/>
  <c r="F90" i="21" s="1"/>
  <c r="F94" i="21" s="1"/>
  <c r="E80" i="21"/>
  <c r="E62" i="21"/>
  <c r="D69" i="21" s="1"/>
  <c r="C62" i="21"/>
  <c r="C69" i="21" s="1"/>
  <c r="E51" i="21"/>
  <c r="D70" i="21" s="1"/>
  <c r="E50" i="21"/>
  <c r="E49" i="21"/>
  <c r="E48" i="21"/>
  <c r="E47" i="21"/>
  <c r="E46" i="21"/>
  <c r="E45" i="21"/>
  <c r="E44" i="21"/>
  <c r="E38" i="21"/>
  <c r="E37" i="21"/>
  <c r="E36" i="21"/>
  <c r="F18" i="21"/>
  <c r="D28" i="21" s="1"/>
  <c r="D18" i="21"/>
  <c r="E39" i="21" l="1"/>
  <c r="D67" i="21" s="1"/>
  <c r="E52" i="21"/>
  <c r="D68" i="21" s="1"/>
  <c r="D171" i="21"/>
  <c r="D174" i="21" s="1"/>
  <c r="F109" i="21"/>
  <c r="F110" i="21" s="1"/>
  <c r="C134" i="21"/>
  <c r="D134" i="21" s="1"/>
  <c r="F117" i="21"/>
  <c r="F151" i="21"/>
  <c r="C156" i="21"/>
  <c r="D156" i="21" s="1"/>
  <c r="C175" i="21" s="1"/>
  <c r="E175" i="21" s="1"/>
  <c r="D191" i="21" s="1"/>
  <c r="E191" i="21" s="1"/>
  <c r="E134" i="21"/>
  <c r="F134" i="21" s="1"/>
  <c r="F129" i="21"/>
  <c r="C133" i="21"/>
  <c r="F124" i="21"/>
  <c r="E133" i="21"/>
  <c r="D71" i="21"/>
  <c r="C174" i="21"/>
  <c r="E174" i="21" s="1"/>
  <c r="D192" i="21" s="1"/>
  <c r="E192" i="21" s="1"/>
  <c r="D36" i="21"/>
  <c r="D46" i="21"/>
  <c r="D37" i="21"/>
  <c r="D44" i="21"/>
  <c r="D47" i="21"/>
  <c r="D50" i="21"/>
  <c r="D49" i="21"/>
  <c r="C179" i="21"/>
  <c r="C28" i="21"/>
  <c r="D38" i="21"/>
  <c r="D45" i="21"/>
  <c r="D48" i="21"/>
  <c r="D51" i="21"/>
  <c r="C70" i="21" s="1"/>
  <c r="E135" i="21" l="1"/>
  <c r="F135" i="21" s="1"/>
  <c r="D182" i="21" s="1"/>
  <c r="F133" i="21"/>
  <c r="D180" i="21"/>
  <c r="C95" i="21"/>
  <c r="E95" i="21" s="1"/>
  <c r="G95" i="21" s="1"/>
  <c r="H95" i="21" s="1"/>
  <c r="C101" i="21" s="1"/>
  <c r="D101" i="21" s="1"/>
  <c r="D181" i="21" s="1"/>
  <c r="D39" i="21"/>
  <c r="C67" i="21" s="1"/>
  <c r="C52" i="21"/>
  <c r="C68" i="21" s="1"/>
  <c r="D157" i="21"/>
  <c r="C135" i="21"/>
  <c r="D133" i="21"/>
  <c r="D135" i="21" s="1"/>
  <c r="C182" i="21" s="1"/>
  <c r="C71" i="21" l="1"/>
  <c r="C172" i="21"/>
  <c r="E172" i="21" s="1"/>
  <c r="D183" i="21" s="1"/>
  <c r="D184" i="21"/>
  <c r="D190" i="21" s="1"/>
  <c r="E190" i="21" s="1"/>
  <c r="C180" i="21" l="1"/>
  <c r="C94" i="21"/>
  <c r="E94" i="21" s="1"/>
  <c r="G94" i="21" s="1"/>
  <c r="H94" i="21" s="1"/>
  <c r="C100" i="21" s="1"/>
  <c r="D100" i="21" s="1"/>
  <c r="C181" i="21" s="1"/>
  <c r="C171" i="21" l="1"/>
  <c r="E171" i="21" s="1"/>
  <c r="C183" i="21" s="1"/>
  <c r="C184" i="21" s="1"/>
  <c r="D189" i="21" s="1"/>
  <c r="D193" i="21" l="1"/>
  <c r="E189" i="21"/>
  <c r="E193" i="21" s="1"/>
  <c r="D15" i="16" s="1"/>
  <c r="D17" i="16" s="1"/>
  <c r="F13" i="16" l="1"/>
  <c r="D24" i="16" l="1"/>
  <c r="F21" i="16"/>
  <c r="G21" i="16" s="1"/>
  <c r="G20" i="16"/>
  <c r="E24" i="16"/>
  <c r="F16" i="16"/>
  <c r="G16" i="16" s="1"/>
  <c r="E15" i="16"/>
  <c r="F15" i="16" s="1"/>
  <c r="G15" i="16" s="1"/>
  <c r="E14" i="16"/>
  <c r="G12" i="16"/>
  <c r="D25" i="16" l="1"/>
  <c r="F14" i="16"/>
  <c r="G11" i="16"/>
  <c r="E26" i="16" l="1"/>
  <c r="F26" i="16" s="1"/>
  <c r="G26" i="16" s="1"/>
  <c r="G14" i="16"/>
  <c r="G17" i="16" s="1"/>
  <c r="F17" i="16"/>
  <c r="E17" i="16"/>
  <c r="E25" i="16" s="1"/>
  <c r="F24" i="16"/>
  <c r="G19" i="16"/>
  <c r="G24" i="16" s="1"/>
  <c r="E27" i="16" l="1"/>
  <c r="G25" i="16"/>
  <c r="F25" i="16"/>
  <c r="F27" i="16" s="1"/>
  <c r="G27" i="16" s="1"/>
</calcChain>
</file>

<file path=xl/comments1.xml><?xml version="1.0" encoding="utf-8"?>
<comments xmlns="http://schemas.openxmlformats.org/spreadsheetml/2006/main">
  <authors>
    <author>Cliente</author>
  </authors>
  <commentList>
    <comment ref="D12" authorId="0" shapeId="0">
      <text>
        <r>
          <rPr>
            <b/>
            <sz val="9"/>
            <color indexed="81"/>
            <rFont val="Segoe UI"/>
            <family val="2"/>
          </rPr>
          <t>Cliente:</t>
        </r>
        <r>
          <rPr>
            <sz val="9"/>
            <color indexed="81"/>
            <rFont val="Segoe UI"/>
            <family val="2"/>
          </rPr>
          <t xml:space="preserve">
Custo médio do litro de Oleo, R$ 48,12, vai 7,46 trocas no ano, vezes 4 litros por troca.</t>
        </r>
      </text>
    </comment>
    <comment ref="E13" authorId="0" shapeId="0">
      <text>
        <r>
          <rPr>
            <b/>
            <sz val="9"/>
            <color indexed="81"/>
            <rFont val="Segoe UI"/>
            <family val="2"/>
          </rPr>
          <t>Cliente:</t>
        </r>
        <r>
          <rPr>
            <sz val="9"/>
            <color indexed="81"/>
            <rFont val="Segoe UI"/>
            <family val="2"/>
          </rPr>
          <t xml:space="preserve">
Media de 410,88, 375,430</t>
        </r>
      </text>
    </comment>
    <comment ref="B19" authorId="0" shapeId="0">
      <text>
        <r>
          <rPr>
            <b/>
            <sz val="9"/>
            <color indexed="81"/>
            <rFont val="Segoe UI"/>
            <family val="2"/>
          </rPr>
          <t>Cliente:</t>
        </r>
        <r>
          <rPr>
            <sz val="9"/>
            <color indexed="81"/>
            <rFont val="Segoe UI"/>
            <family val="2"/>
          </rPr>
          <t xml:space="preserve">
20% ano, vida util 05 anos, com valor residual de 20%. Logo deprecia 80% do seu valor.</t>
        </r>
      </text>
    </comment>
  </commentList>
</comments>
</file>

<file path=xl/comments2.xml><?xml version="1.0" encoding="utf-8"?>
<comments xmlns="http://schemas.openxmlformats.org/spreadsheetml/2006/main">
  <authors>
    <author>elainewitt</author>
  </authors>
  <commentList>
    <comment ref="E19" authorId="0" shapeId="0">
      <text>
        <r>
          <rPr>
            <sz val="9"/>
            <color indexed="81"/>
            <rFont val="Tahoma"/>
            <family val="2"/>
          </rPr>
          <t xml:space="preserve">3 horas diárias * 5.5 dias * 4,5 semanas
</t>
        </r>
      </text>
    </comment>
    <comment ref="F19" authorId="0" shapeId="0">
      <text>
        <r>
          <rPr>
            <sz val="9"/>
            <color indexed="81"/>
            <rFont val="Tahoma"/>
            <family val="2"/>
          </rPr>
          <t xml:space="preserve">Considerando 3 horas diárias para realização de coleta das bolsas.
</t>
        </r>
      </text>
    </comment>
    <comment ref="C94" authorId="0" shapeId="0">
      <text>
        <r>
          <rPr>
            <b/>
            <sz val="9"/>
            <color indexed="81"/>
            <rFont val="Tahoma"/>
            <family val="2"/>
          </rPr>
          <t>elainewitt:</t>
        </r>
        <r>
          <rPr>
            <sz val="9"/>
            <color indexed="81"/>
            <rFont val="Tahoma"/>
            <family val="2"/>
          </rPr>
          <t xml:space="preserve">
Resumo módulo 2 + Resumo módulo 1 
Composição remuneração 
</t>
        </r>
      </text>
    </comment>
    <comment ref="C171" authorId="0" shapeId="0">
      <text>
        <r>
          <rPr>
            <sz val="9"/>
            <color indexed="81"/>
            <rFont val="Tahoma"/>
            <family val="2"/>
          </rPr>
          <t xml:space="preserve">Resumo mod.1+Resumo mod.2+Resumo mod.3+Resumo mod.4
</t>
        </r>
      </text>
    </comment>
    <comment ref="C172" authorId="0" shapeId="0">
      <text>
        <r>
          <rPr>
            <sz val="9"/>
            <color indexed="81"/>
            <rFont val="Tahoma"/>
            <family val="2"/>
          </rPr>
          <t>Resumo mod.1+Resumo mod.2+Resumo mod.3+Resumo mod.4</t>
        </r>
      </text>
    </comment>
    <comment ref="C183" authorId="0" shapeId="0">
      <text>
        <r>
          <rPr>
            <sz val="9"/>
            <color indexed="81"/>
            <rFont val="Tahoma"/>
            <family val="2"/>
          </rPr>
          <t xml:space="preserve">Mão-de-obra + Instrumento de trabalho individual
</t>
        </r>
      </text>
    </comment>
    <comment ref="D183" authorId="0" shapeId="0">
      <text>
        <r>
          <rPr>
            <sz val="9"/>
            <color indexed="81"/>
            <rFont val="Tahoma"/>
            <family val="2"/>
          </rPr>
          <t xml:space="preserve">Apenas mão-de-obra
</t>
        </r>
      </text>
    </comment>
  </commentList>
</comments>
</file>

<file path=xl/sharedStrings.xml><?xml version="1.0" encoding="utf-8"?>
<sst xmlns="http://schemas.openxmlformats.org/spreadsheetml/2006/main" count="368" uniqueCount="242">
  <si>
    <t xml:space="preserve">Nº </t>
  </si>
  <si>
    <t>ITEM</t>
  </si>
  <si>
    <t>UNIDADE</t>
  </si>
  <si>
    <t>V. UNIT.</t>
  </si>
  <si>
    <t>CUSTO P/KM</t>
  </si>
  <si>
    <t>CUSTO TOTAL</t>
  </si>
  <si>
    <t>CUSTOS VARIAVÉIS</t>
  </si>
  <si>
    <t>LITROS</t>
  </si>
  <si>
    <t>CUSTOS FIXOS</t>
  </si>
  <si>
    <t>TOTAL</t>
  </si>
  <si>
    <t>UNIDADE DE MEDIDA</t>
  </si>
  <si>
    <t>NOME DA EMPRESA:</t>
  </si>
  <si>
    <t>VEICULO (ONIBUS/VAN)</t>
  </si>
  <si>
    <t>ANO FABRICAÇÃO</t>
  </si>
  <si>
    <t>COTAÇÃO TABELA /FIPE</t>
  </si>
  <si>
    <t>KM RODADO ANO</t>
  </si>
  <si>
    <t>1.2</t>
  </si>
  <si>
    <t>1.1</t>
  </si>
  <si>
    <t>1.3</t>
  </si>
  <si>
    <t>1.4</t>
  </si>
  <si>
    <t>1.5</t>
  </si>
  <si>
    <t>1.6</t>
  </si>
  <si>
    <t>DESPESAS COM PESSOAL</t>
  </si>
  <si>
    <t>DESPESAS GERAIS</t>
  </si>
  <si>
    <t>TOTAL CUSTOS VARIAVEIS</t>
  </si>
  <si>
    <t>2.1</t>
  </si>
  <si>
    <t>2.2</t>
  </si>
  <si>
    <t>2.3</t>
  </si>
  <si>
    <t>2.4</t>
  </si>
  <si>
    <t>2.5</t>
  </si>
  <si>
    <t xml:space="preserve"> APÓLICE DE SEGURO</t>
  </si>
  <si>
    <t>TOTAL CUSTOS FIXOS</t>
  </si>
  <si>
    <t xml:space="preserve">TOTAL </t>
  </si>
  <si>
    <t>TOTAL= CUSTOS VARIAVEIS + CUSTOS FIXOS</t>
  </si>
  <si>
    <t>MANUTENÇÃO DO VEÍCULO 10%</t>
  </si>
  <si>
    <t>Categoria</t>
  </si>
  <si>
    <t>Total</t>
  </si>
  <si>
    <t>Base de cálculo</t>
  </si>
  <si>
    <t>FGTS</t>
  </si>
  <si>
    <t>Vale Transporte</t>
  </si>
  <si>
    <t>Base de Cálculo</t>
  </si>
  <si>
    <t>Item</t>
  </si>
  <si>
    <t>Valor Total</t>
  </si>
  <si>
    <t>B.D.I E LUCRO (9%)</t>
  </si>
  <si>
    <t>ONIBUS 12 LUGARES</t>
  </si>
  <si>
    <t xml:space="preserve"> PLANILHA DE CUSTOS MUNICÍPIO DE SÃO JORGE D'OESTE PARANÁ</t>
  </si>
  <si>
    <t>Limpeza Urbana</t>
  </si>
  <si>
    <t>Pregão Presencial nº XX/2021</t>
  </si>
  <si>
    <t>Processo nº XX/2021</t>
  </si>
  <si>
    <t xml:space="preserve">Dados complementares para composição dos custos </t>
  </si>
  <si>
    <t>A</t>
  </si>
  <si>
    <t>Data da Proposta</t>
  </si>
  <si>
    <t>B</t>
  </si>
  <si>
    <t>Município/UF</t>
  </si>
  <si>
    <t>São Jorge D'Oeste  -PR</t>
  </si>
  <si>
    <t>C</t>
  </si>
  <si>
    <t>Ano do Acordo, Convenção ou Díssidio Coletivo</t>
  </si>
  <si>
    <t xml:space="preserve">D </t>
  </si>
  <si>
    <r>
      <t>N</t>
    </r>
    <r>
      <rPr>
        <vertAlign val="superscript"/>
        <sz val="9"/>
        <color theme="1"/>
        <rFont val="Times New Roman"/>
        <family val="1"/>
      </rPr>
      <t>o</t>
    </r>
    <r>
      <rPr>
        <sz val="9"/>
        <color theme="1"/>
        <rFont val="Times New Roman"/>
        <family val="1"/>
      </rPr>
      <t xml:space="preserve"> de meses de execução contratual</t>
    </r>
  </si>
  <si>
    <t>Identificação  do  Serviço</t>
  </si>
  <si>
    <t xml:space="preserve">Tipo de serviço </t>
  </si>
  <si>
    <t xml:space="preserve">Quantidade total a contratar MÊS </t>
  </si>
  <si>
    <t>Unidade</t>
  </si>
  <si>
    <t>Motorista</t>
  </si>
  <si>
    <t>Pessoas</t>
  </si>
  <si>
    <t>Módulo 1 - Composição da Remuneração *</t>
  </si>
  <si>
    <t>Composição da Remuneração                         Salário Base</t>
  </si>
  <si>
    <t xml:space="preserve">Valor (R$/mês) </t>
  </si>
  <si>
    <t>Valor (R$/hora)</t>
  </si>
  <si>
    <t>Horas (mensais contratada)</t>
  </si>
  <si>
    <t>Total R$ Mensal</t>
  </si>
  <si>
    <t>1.830,00                        44 horas semanais</t>
  </si>
  <si>
    <t>Composição da Remuneração                       Insalubridade</t>
  </si>
  <si>
    <t>Percentual  (%)</t>
  </si>
  <si>
    <t>Valor Mensal (R$)</t>
  </si>
  <si>
    <t xml:space="preserve">* Composição baseado em tempo utilizado pelo funcionário destinado aos resíduos oriundos do Município de São Jorge D'Oeste                                                                                                                                                                                                                                                                                                                                                                                                                                                          </t>
  </si>
  <si>
    <t>Quadro Resumo Módulo 1 - Composição da Remuneração</t>
  </si>
  <si>
    <t xml:space="preserve">Composição da Remuneração </t>
  </si>
  <si>
    <t>Valor Anual (R$)</t>
  </si>
  <si>
    <t>Valor Mensal  (R$)</t>
  </si>
  <si>
    <t>Módulo 2 - Encargos e Benefícios Anuais, Mensais e Diários</t>
  </si>
  <si>
    <t>Submódulo 2.1 - 13º (décimo terceiro) Salário, Férias e Adicional de Férias</t>
  </si>
  <si>
    <t>13º (décimo terceiro) Salário, Férias e Adicional de Férias</t>
  </si>
  <si>
    <t>Percentual (%)</t>
  </si>
  <si>
    <t xml:space="preserve">Valor Mensal Motista  (R$) </t>
  </si>
  <si>
    <t xml:space="preserve">Valor Mensal  (R$) </t>
  </si>
  <si>
    <t>13º (décimo terceiro) Salário</t>
  </si>
  <si>
    <t xml:space="preserve"> Adicional de Férias (1/3)</t>
  </si>
  <si>
    <t>Férias Remunerada</t>
  </si>
  <si>
    <t xml:space="preserve">Total Submódulo 2.1 </t>
  </si>
  <si>
    <t>Submódulo 2.2 - GPS, FGTS e outras contribuições</t>
  </si>
  <si>
    <t>GPS, FGTS e outras contribuições</t>
  </si>
  <si>
    <t xml:space="preserve">Valor Mensal  Motorista (R$) </t>
  </si>
  <si>
    <t xml:space="preserve">Valor Mensal Roçador (R$) </t>
  </si>
  <si>
    <t>INSS</t>
  </si>
  <si>
    <t>Salário Educação</t>
  </si>
  <si>
    <t>SAT</t>
  </si>
  <si>
    <t>D</t>
  </si>
  <si>
    <t>SESC ou SESI</t>
  </si>
  <si>
    <t>E</t>
  </si>
  <si>
    <t>SENAI - SENAC</t>
  </si>
  <si>
    <t>F</t>
  </si>
  <si>
    <t>SEBRAE</t>
  </si>
  <si>
    <t>G</t>
  </si>
  <si>
    <t>INCRA</t>
  </si>
  <si>
    <t>H</t>
  </si>
  <si>
    <t>Total  Submódulo 2.2</t>
  </si>
  <si>
    <t xml:space="preserve">Submódulo 2.3 - Benefícios Mensais e Diários. </t>
  </si>
  <si>
    <t>Benefícios Mensais e Diários</t>
  </si>
  <si>
    <t>-</t>
  </si>
  <si>
    <t>Auxílio-Refeição/Alimentação</t>
  </si>
  <si>
    <t>Total Submódulo 2.3</t>
  </si>
  <si>
    <t xml:space="preserve">QUADRO RESUMO DO  MÓDULO 2 </t>
  </si>
  <si>
    <t>Encargos e Benefícios Anuais, Mensais e Diários</t>
  </si>
  <si>
    <t xml:space="preserve">Valor Mensal Motorista  (R$) </t>
  </si>
  <si>
    <t>Multa s/ FGTS</t>
  </si>
  <si>
    <t>Módulo 3. Custo de reposição do profissional  ausente</t>
  </si>
  <si>
    <t xml:space="preserve">Probabilidade de ocorrência de ausências legais, conforme previsão do art. 473 da Consolidação das Leis do Trabalho. Neste caso foi utilizado probabilidade de ocorrência, mediante estatísticas da Relação Anual de Informações Sociais-2016 (RAIS/MTE), da Pesquisa Nacional por Amostra de Domicílios-2016 (PNAD/IBGE), do Registro Civil (IBGE)-2016.      </t>
  </si>
  <si>
    <t xml:space="preserve">Memória de Cálculo - número de dias de reposição do profissional ausente para cada evento. São computados, então, a probabilidade de dias de ausência para cobertura, conforme escala de trabalho mensal.                                          </t>
  </si>
  <si>
    <t>Ausências Legais</t>
  </si>
  <si>
    <t>Incidencia anual</t>
  </si>
  <si>
    <t>Duração Legal  
da Ausência</t>
  </si>
  <si>
    <t xml:space="preserve">44 h </t>
  </si>
  <si>
    <t>Proporção dias afetados - Dias úteis</t>
  </si>
  <si>
    <t>Dias de reposição</t>
  </si>
  <si>
    <t>Substituto na cobertura de Ausência por acidente trabalho</t>
  </si>
  <si>
    <t>Substituto na cobertura de Ausência por afastamento por doença</t>
  </si>
  <si>
    <t>Substituto na cobertura de Ausência por consulta médica de filho(a)/familiar</t>
  </si>
  <si>
    <t>Substituto na cobertura de Ausência por óbitos na família</t>
  </si>
  <si>
    <t>Substituto na cobertura de Ausência por Casamento</t>
  </si>
  <si>
    <t>Substituto na cobertura de Ausência por doação de sangue</t>
  </si>
  <si>
    <t>Substituto na cobertura de Ausência por Testemunho</t>
  </si>
  <si>
    <t>Substituto na cobertura de Licença Paternidade</t>
  </si>
  <si>
    <t>I</t>
  </si>
  <si>
    <t>Substituto na cobertura de Licença Maternidade</t>
  </si>
  <si>
    <t>J</t>
  </si>
  <si>
    <t>Substituto na cobertura de Ausência por consulta pré-natal</t>
  </si>
  <si>
    <t xml:space="preserve">Total </t>
  </si>
  <si>
    <t>SUBMÓDULO 3.1. CUSTO DIÁRIO PARA O REPOSITOR / AUSÊNCIAS LEGAIS</t>
  </si>
  <si>
    <t xml:space="preserve">Item </t>
  </si>
  <si>
    <t>Divisor do dia</t>
  </si>
  <si>
    <t>Custo diário</t>
  </si>
  <si>
    <t>Necessidade de Reposição</t>
  </si>
  <si>
    <t>Custo anual</t>
  </si>
  <si>
    <t>Custo mensal</t>
  </si>
  <si>
    <t>QUADRO RESUMO MÓDULO 3 - TOTAL CUSTO DE REPOSIÇÃO DO PROFISSIONAL AUSENTE                                                                                                         Provisão de 2,24% sobre o custo mensal para reposição do profissional ausente. Pesquisa de cidade vizinha com carasteristicas dimensional, geografica e populacional semelhante.</t>
  </si>
  <si>
    <t xml:space="preserve"> </t>
  </si>
  <si>
    <t>VALOR MENSAL  (2,24%)</t>
  </si>
  <si>
    <t xml:space="preserve">Módulo 4 - Uniforme, EPI´s, Diversos </t>
  </si>
  <si>
    <t>4.1</t>
  </si>
  <si>
    <t>Uniforme e  EPI's VARREDOR</t>
  </si>
  <si>
    <t>Num. Funcionários</t>
  </si>
  <si>
    <t>Fator de Utilização (meses)</t>
  </si>
  <si>
    <t>Quantidade anual</t>
  </si>
  <si>
    <t>Valor unitário (R$)</t>
  </si>
  <si>
    <t>Valor anual(R$)</t>
  </si>
  <si>
    <t>4.1.1</t>
  </si>
  <si>
    <t xml:space="preserve">Uniformes </t>
  </si>
  <si>
    <t>Camiseta manga curta com Faixa Refletiva</t>
  </si>
  <si>
    <t>Camiseta manga longa com Faixa Refletiva</t>
  </si>
  <si>
    <t>Calça Brim com faixa refletiva</t>
  </si>
  <si>
    <t>TOTAL UNIFORMES (ANUAL)</t>
  </si>
  <si>
    <t>TOTAL UNIFORMES (MENSAL)</t>
  </si>
  <si>
    <t>4.1.2</t>
  </si>
  <si>
    <t xml:space="preserve">  EPI's </t>
  </si>
  <si>
    <t>Calçado de Proteção</t>
  </si>
  <si>
    <t>Protetor solar profissional, F50, 120 ml.</t>
  </si>
  <si>
    <t>Capuz de segurança (boné)</t>
  </si>
  <si>
    <t>Luvas de proteção confecionada em malha com revestimento Nitrílico CA valido</t>
  </si>
  <si>
    <t>TOTAL  UNIFORMES (MENSAL)</t>
  </si>
  <si>
    <t>4.2</t>
  </si>
  <si>
    <t xml:space="preserve">Uniforme e  EPI's </t>
  </si>
  <si>
    <t>4.2.1</t>
  </si>
  <si>
    <t>Uniformes Roçador</t>
  </si>
  <si>
    <t>4.2.2</t>
  </si>
  <si>
    <t>Kit de proteção para operador de roçadeira</t>
  </si>
  <si>
    <t>TOTAL EPI's (ANUAL)</t>
  </si>
  <si>
    <t>TOTAL EPI's (MENSAL)</t>
  </si>
  <si>
    <t xml:space="preserve">Quadro-Resumo dos Módulos 4 </t>
  </si>
  <si>
    <t xml:space="preserve">Anual </t>
  </si>
  <si>
    <t xml:space="preserve">Mensal </t>
  </si>
  <si>
    <t xml:space="preserve">Uniforme </t>
  </si>
  <si>
    <t>EPI´s</t>
  </si>
  <si>
    <t>Módulo 5 - Custos com  Instrumentos de trabalho</t>
  </si>
  <si>
    <t>5.1</t>
  </si>
  <si>
    <t>Instrumento de Trabalho</t>
  </si>
  <si>
    <t>TOTAL INSTRUMENTO DE TRABALHO</t>
  </si>
  <si>
    <t>5.2</t>
  </si>
  <si>
    <t>Destinação final  dos resíduos                (14 Km/dia)</t>
  </si>
  <si>
    <t>Número de veículos</t>
  </si>
  <si>
    <t xml:space="preserve">Fator de Utilização </t>
  </si>
  <si>
    <t xml:space="preserve">Unidade </t>
  </si>
  <si>
    <t>Valor total (R$) Anual</t>
  </si>
  <si>
    <t>Total Anual</t>
  </si>
  <si>
    <t>TOTAL DESTINAÇÃO DOS RESÍDUOS (MENSAL)</t>
  </si>
  <si>
    <t>QUADRO RESUMO MÓDULO 5</t>
  </si>
  <si>
    <t xml:space="preserve">Descrição </t>
  </si>
  <si>
    <t xml:space="preserve">Anual                   </t>
  </si>
  <si>
    <t xml:space="preserve">Mensal               </t>
  </si>
  <si>
    <t xml:space="preserve">Intrumentos de Trabalho </t>
  </si>
  <si>
    <t xml:space="preserve">Destinação dos resíduos </t>
  </si>
  <si>
    <t>Total Módulo 5</t>
  </si>
  <si>
    <t xml:space="preserve"> Módulo 6  - Custos Indiretos, Tributos e Lucro</t>
  </si>
  <si>
    <t xml:space="preserve">Eventuais custos não previstos expressamente na memória de cálculo devem ser cobertos pelo LDI (Lucro e Despesas Indiretas) ou BDI (Bonificações e Despesas Indireta). A licitante deve elaborar sua proposta e, por conseguinte, sua planilha com base no regime de tributação ao qual estará submetida durante a execução do contrato. Os Custos Indiretos e o Lucro foram baseados nas propostas das licitantes participantes do último processo licitatório para contratação deste objeto. </t>
  </si>
  <si>
    <t>INFORMAÇÃO DE PERCENTUAIS ESTIMADOS DE CITL                                           Valores baseados na Planilha de custos e formação de Preços                                            (Instrução  Normativa N° 5, de 26 de maio de 2017.</t>
  </si>
  <si>
    <t>Custos Indiretos</t>
  </si>
  <si>
    <t xml:space="preserve">Tributos  </t>
  </si>
  <si>
    <t xml:space="preserve">PIS 1,65% COFINS 7,6% ISS 5%                     </t>
  </si>
  <si>
    <t>Lucro</t>
  </si>
  <si>
    <t>Módulo 6 - Custos Indiretos, Tributos e Lucro</t>
  </si>
  <si>
    <t>6.1</t>
  </si>
  <si>
    <t>Custos Indiretos, Tributos e Lucro</t>
  </si>
  <si>
    <t xml:space="preserve">Valor Mensal(R$) </t>
  </si>
  <si>
    <t>Mão-de-obra (motorista)</t>
  </si>
  <si>
    <t xml:space="preserve">Mão-de-obra </t>
  </si>
  <si>
    <t>6.2</t>
  </si>
  <si>
    <t>Valor (R$) Mensal</t>
  </si>
  <si>
    <t>Instrumentos de trabalho</t>
  </si>
  <si>
    <t xml:space="preserve">Custo com destinação </t>
  </si>
  <si>
    <t xml:space="preserve"> CUSTO POR TRABALHADOR</t>
  </si>
  <si>
    <t>Valor Mensal Varredor (R$)</t>
  </si>
  <si>
    <t>Valor Mensal Roçador (R$)</t>
  </si>
  <si>
    <t>CUSTO TOTAL DA CONTRATAÇÃO</t>
  </si>
  <si>
    <t>Quantidade</t>
  </si>
  <si>
    <t>Custo Anual</t>
  </si>
  <si>
    <t xml:space="preserve">Custo destinação </t>
  </si>
  <si>
    <t>12 meses</t>
  </si>
  <si>
    <t xml:space="preserve">Custo com Instrumento de trabalho </t>
  </si>
  <si>
    <t>VALOR TOTAL DO CONTRATO</t>
  </si>
  <si>
    <t>COMBUSTÍVEL GASOLINA (1 Litros 5 km)</t>
  </si>
  <si>
    <t xml:space="preserve">ÓLEOS LUBRIFICANTES (Troca a cada 3000 Km, 4 litros) </t>
  </si>
  <si>
    <t>DEPRECIAÇÃO DE VEÍCULO (acima de 5 anos não tem)</t>
  </si>
  <si>
    <t>IPVA</t>
  </si>
  <si>
    <t>SEGURO OBRIGATORIO</t>
  </si>
  <si>
    <t>PNEUS (4 Pneus Km/Rodado 10.000km)</t>
  </si>
  <si>
    <t xml:space="preserve">PLANILHA FORMAÇÃO DE CUSTOS POR KM </t>
  </si>
  <si>
    <t>ANO DE USO MAXIMO</t>
  </si>
  <si>
    <t>15 ANOS</t>
  </si>
  <si>
    <t>AVIARIOS/MORELO/VIGANO ESC. MUN. PROF JORGE GUI. E DR. ANT. PARANHOS E COLÉGIO ANCHIETA</t>
  </si>
  <si>
    <t xml:space="preserve">ROTEIRO/LINHA N° 16 </t>
  </si>
  <si>
    <t>Nome da empresa e representante</t>
  </si>
  <si>
    <t>VISTORIA INMETRO DUAS VISTORIAS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</si>
</sst>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R$&quot;\ * #,##0.00_-;\-&quot;R$&quot;\ * #,##0.00_-;_-&quot;R$&quot;\ * &quot;-&quot;??_-;_-@_-"/>
    <numFmt numFmtId="43" formatCode="_-* #,##0.00_-;\-* #,##0.00_-;_-* &quot;-&quot;??_-;_-@_-"/>
    <numFmt numFmtId="164" formatCode="0.0000"/>
    <numFmt numFmtId="165" formatCode="0.000"/>
    <numFmt numFmtId="166" formatCode="_-&quot;R$&quot;* #,##0.00_-;\-&quot;R$&quot;* #,##0.00_-;_-&quot;R$&quot;* &quot;-&quot;??_-;_-@_-"/>
    <numFmt numFmtId="167" formatCode="_ &quot;R$&quot;\ * #,##0.00_ ;_ &quot;R$&quot;\ * \-#,##0.00_ ;_ &quot;R$&quot;\ * &quot;-&quot;??_ ;_ @_ "/>
    <numFmt numFmtId="168" formatCode="#,##0_ ;\-#,##0\ "/>
    <numFmt numFmtId="169" formatCode="&quot;R$&quot;\ #,##0.00"/>
  </numFmts>
  <fonts count="21"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u/>
      <sz val="11"/>
      <color theme="1"/>
      <name val="Arial Narrow"/>
      <family val="2"/>
    </font>
    <font>
      <sz val="11"/>
      <color indexed="8"/>
      <name val="Calibri"/>
      <family val="2"/>
    </font>
    <font>
      <b/>
      <sz val="14"/>
      <color theme="1"/>
      <name val="Arial Narrow"/>
      <family val="2"/>
    </font>
    <font>
      <sz val="9"/>
      <color indexed="81"/>
      <name val="Segoe UI"/>
      <family val="2"/>
    </font>
    <font>
      <b/>
      <sz val="9"/>
      <color indexed="81"/>
      <name val="Segoe UI"/>
      <family val="2"/>
    </font>
    <font>
      <b/>
      <sz val="9"/>
      <name val="Times New Roman"/>
      <family val="1"/>
    </font>
    <font>
      <sz val="9"/>
      <color theme="1"/>
      <name val="Times New Roman"/>
      <family val="1"/>
    </font>
    <font>
      <sz val="9"/>
      <name val="Times New Roman"/>
      <family val="1"/>
    </font>
    <font>
      <b/>
      <sz val="9"/>
      <color theme="1"/>
      <name val="Times New Roman"/>
      <family val="1"/>
    </font>
    <font>
      <vertAlign val="superscript"/>
      <sz val="9"/>
      <color theme="1"/>
      <name val="Times New Roman"/>
      <family val="1"/>
    </font>
    <font>
      <sz val="9"/>
      <color rgb="FFFF0000"/>
      <name val="Times New Roman"/>
      <family val="1"/>
    </font>
    <font>
      <b/>
      <sz val="9"/>
      <color rgb="FFFF0000"/>
      <name val="Times New Roman"/>
      <family val="1"/>
    </font>
    <font>
      <b/>
      <sz val="12"/>
      <color theme="1"/>
      <name val="Times New Roman"/>
      <family val="1"/>
    </font>
    <font>
      <sz val="9"/>
      <color indexed="81"/>
      <name val="Tahoma"/>
      <family val="2"/>
    </font>
    <font>
      <b/>
      <sz val="9"/>
      <color indexed="81"/>
      <name val="Tahoma"/>
      <family val="2"/>
    </font>
    <font>
      <sz val="11"/>
      <name val="Arial Narrow"/>
      <family val="2"/>
    </font>
    <font>
      <b/>
      <sz val="11"/>
      <color theme="1"/>
      <name val="Arial"/>
      <family val="2"/>
    </font>
  </fonts>
  <fills count="14">
    <fill>
      <patternFill patternType="none"/>
    </fill>
    <fill>
      <patternFill patternType="gray125"/>
    </fill>
    <fill>
      <patternFill patternType="solid">
        <fgColor theme="7" tint="0.79998168889431442"/>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9" fontId="1" fillId="0" borderId="0" applyFont="0" applyFill="0" applyBorder="0" applyAlignment="0" applyProtection="0"/>
    <xf numFmtId="0" fontId="5"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338">
    <xf numFmtId="0" fontId="0" fillId="0" borderId="0" xfId="0"/>
    <xf numFmtId="0" fontId="2" fillId="0" borderId="0" xfId="0" applyFont="1"/>
    <xf numFmtId="0" fontId="2" fillId="0" borderId="0" xfId="0" applyFont="1" applyAlignment="1">
      <alignment horizontal="center" vertical="center" wrapText="1"/>
    </xf>
    <xf numFmtId="2" fontId="2"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2" fontId="2" fillId="2" borderId="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2" fontId="3" fillId="0" borderId="0" xfId="0" applyNumberFormat="1"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43" fontId="2" fillId="0" borderId="1" xfId="3" applyFont="1" applyBorder="1" applyAlignment="1">
      <alignment horizontal="center" vertical="center" wrapText="1"/>
    </xf>
    <xf numFmtId="4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0" fontId="2" fillId="0" borderId="0" xfId="0" applyNumberFormat="1" applyFont="1" applyAlignment="1">
      <alignment horizontal="center" vertical="center" wrapText="1"/>
    </xf>
    <xf numFmtId="2" fontId="4" fillId="0" borderId="1" xfId="0" applyNumberFormat="1" applyFont="1" applyBorder="1" applyAlignment="1">
      <alignment horizontal="center" vertical="center" wrapText="1"/>
    </xf>
    <xf numFmtId="2" fontId="2" fillId="0" borderId="0" xfId="0" applyNumberFormat="1" applyFont="1"/>
    <xf numFmtId="165" fontId="2" fillId="0" borderId="1" xfId="0" applyNumberFormat="1" applyFont="1" applyBorder="1" applyAlignment="1">
      <alignment horizontal="center" vertical="center" wrapText="1"/>
    </xf>
    <xf numFmtId="2" fontId="2"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center"/>
    </xf>
    <xf numFmtId="2" fontId="4" fillId="0" borderId="0" xfId="0" applyNumberFormat="1" applyFont="1" applyBorder="1" applyAlignment="1">
      <alignment horizontal="center" vertical="center" wrapText="1"/>
    </xf>
    <xf numFmtId="44" fontId="2" fillId="0" borderId="0" xfId="4" applyFont="1"/>
    <xf numFmtId="44" fontId="2" fillId="0" borderId="0" xfId="0" applyNumberFormat="1" applyFont="1"/>
    <xf numFmtId="0" fontId="2" fillId="0" borderId="1" xfId="0" applyFont="1" applyBorder="1" applyAlignment="1">
      <alignment horizontal="center" vertical="center" wrapText="1"/>
    </xf>
    <xf numFmtId="0" fontId="10" fillId="0" borderId="0" xfId="0" applyFont="1" applyAlignment="1">
      <alignment vertical="center"/>
    </xf>
    <xf numFmtId="0" fontId="10" fillId="0" borderId="0" xfId="0" applyFont="1" applyFill="1" applyAlignment="1">
      <alignment vertical="center"/>
    </xf>
    <xf numFmtId="0" fontId="11" fillId="0" borderId="1" xfId="0" applyFont="1" applyFill="1" applyBorder="1" applyAlignment="1">
      <alignment horizontal="left" vertical="center"/>
    </xf>
    <xf numFmtId="0" fontId="11" fillId="0" borderId="0" xfId="0" applyFont="1" applyFill="1" applyAlignment="1">
      <alignment horizontal="left" vertical="center"/>
    </xf>
    <xf numFmtId="0" fontId="10" fillId="0" borderId="1" xfId="0" applyFont="1" applyBorder="1" applyAlignment="1">
      <alignment horizontal="center" vertical="center" wrapText="1"/>
    </xf>
    <xf numFmtId="0" fontId="12" fillId="7" borderId="1" xfId="0" applyFont="1" applyFill="1" applyBorder="1" applyAlignment="1">
      <alignment horizontal="center" vertical="center" wrapText="1"/>
    </xf>
    <xf numFmtId="0" fontId="9" fillId="7" borderId="1" xfId="0" applyFont="1" applyFill="1" applyBorder="1" applyAlignment="1">
      <alignment horizontal="left" vertical="center"/>
    </xf>
    <xf numFmtId="0" fontId="10" fillId="0" borderId="1" xfId="0" applyFont="1" applyBorder="1" applyAlignment="1">
      <alignment vertical="center"/>
    </xf>
    <xf numFmtId="0" fontId="12" fillId="8"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1" fillId="0" borderId="1" xfId="0" applyFont="1" applyBorder="1" applyAlignment="1">
      <alignment vertical="center" wrapText="1"/>
    </xf>
    <xf numFmtId="44" fontId="10" fillId="0" borderId="1" xfId="4" applyFont="1" applyBorder="1" applyAlignment="1">
      <alignment horizontal="center" vertical="center" wrapText="1"/>
    </xf>
    <xf numFmtId="2"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44" fontId="10" fillId="9" borderId="1" xfId="4" applyFont="1" applyFill="1" applyBorder="1" applyAlignment="1">
      <alignment vertical="center"/>
    </xf>
    <xf numFmtId="2"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2" fillId="0" borderId="0" xfId="0" applyFont="1" applyBorder="1" applyAlignment="1">
      <alignment horizontal="center" vertical="center" wrapText="1"/>
    </xf>
    <xf numFmtId="0" fontId="10" fillId="10" borderId="0" xfId="0" applyFont="1" applyFill="1" applyBorder="1" applyAlignment="1">
      <alignment vertical="center"/>
    </xf>
    <xf numFmtId="166" fontId="10" fillId="0" borderId="2" xfId="0" quotePrefix="1" applyNumberFormat="1" applyFont="1" applyBorder="1" applyAlignment="1">
      <alignment horizontal="center" vertical="center" wrapText="1"/>
    </xf>
    <xf numFmtId="44" fontId="12" fillId="9" borderId="1" xfId="4" applyFont="1" applyFill="1" applyBorder="1" applyAlignment="1">
      <alignment horizontal="left" vertical="center" wrapText="1"/>
    </xf>
    <xf numFmtId="0" fontId="10" fillId="10" borderId="0" xfId="0" applyFont="1" applyFill="1" applyBorder="1" applyAlignment="1">
      <alignment horizontal="center" vertical="center"/>
    </xf>
    <xf numFmtId="166" fontId="10" fillId="0" borderId="1" xfId="0" applyNumberFormat="1" applyFont="1" applyBorder="1" applyAlignment="1">
      <alignment horizontal="left" vertical="center" wrapText="1"/>
    </xf>
    <xf numFmtId="0" fontId="10" fillId="0" borderId="0" xfId="0" quotePrefix="1" applyFont="1" applyBorder="1" applyAlignment="1">
      <alignment horizontal="center" vertical="center"/>
    </xf>
    <xf numFmtId="10" fontId="10" fillId="0" borderId="1" xfId="0" applyNumberFormat="1" applyFont="1" applyBorder="1" applyAlignment="1">
      <alignment horizontal="left" vertical="center" wrapText="1"/>
    </xf>
    <xf numFmtId="44" fontId="10" fillId="0" borderId="1" xfId="4" applyFont="1" applyBorder="1" applyAlignment="1">
      <alignment horizontal="left" vertical="center" wrapText="1"/>
    </xf>
    <xf numFmtId="167" fontId="10" fillId="0" borderId="0" xfId="0" applyNumberFormat="1" applyFont="1" applyAlignment="1">
      <alignment vertical="center"/>
    </xf>
    <xf numFmtId="44" fontId="12" fillId="9" borderId="1" xfId="4" applyFont="1" applyFill="1" applyBorder="1" applyAlignment="1">
      <alignment vertical="center" wrapText="1"/>
    </xf>
    <xf numFmtId="0" fontId="12" fillId="10" borderId="13" xfId="0" applyFont="1" applyFill="1" applyBorder="1" applyAlignment="1">
      <alignment horizontal="center" vertical="center" wrapText="1"/>
    </xf>
    <xf numFmtId="0" fontId="12" fillId="10" borderId="5" xfId="0" applyFont="1" applyFill="1" applyBorder="1" applyAlignment="1">
      <alignment horizontal="center" vertical="center" wrapText="1"/>
    </xf>
    <xf numFmtId="44" fontId="12" fillId="10" borderId="5" xfId="4" applyFont="1" applyFill="1" applyBorder="1" applyAlignment="1">
      <alignment vertical="center" wrapText="1"/>
    </xf>
    <xf numFmtId="44" fontId="12" fillId="10" borderId="0" xfId="4" applyFont="1" applyFill="1" applyBorder="1" applyAlignment="1">
      <alignment vertical="center" wrapText="1"/>
    </xf>
    <xf numFmtId="44" fontId="10" fillId="0" borderId="1" xfId="4" applyFont="1" applyFill="1" applyBorder="1" applyAlignment="1">
      <alignment horizontal="left" vertical="center"/>
    </xf>
    <xf numFmtId="44" fontId="10" fillId="10" borderId="1" xfId="4" applyFont="1" applyFill="1" applyBorder="1" applyAlignment="1">
      <alignment horizontal="center" vertical="center"/>
    </xf>
    <xf numFmtId="166" fontId="10" fillId="0" borderId="0" xfId="0" applyNumberFormat="1" applyFont="1" applyAlignment="1">
      <alignment vertical="center"/>
    </xf>
    <xf numFmtId="9" fontId="10" fillId="10" borderId="1" xfId="0" applyNumberFormat="1" applyFont="1" applyFill="1" applyBorder="1" applyAlignment="1">
      <alignment horizontal="left" vertical="center" wrapText="1"/>
    </xf>
    <xf numFmtId="44" fontId="12" fillId="10" borderId="5" xfId="4" applyFont="1" applyFill="1" applyBorder="1" applyAlignment="1">
      <alignment horizontal="center" vertical="center" wrapText="1"/>
    </xf>
    <xf numFmtId="44" fontId="12" fillId="10" borderId="14" xfId="4" applyFont="1" applyFill="1" applyBorder="1" applyAlignment="1">
      <alignment horizontal="center" vertical="center" wrapText="1"/>
    </xf>
    <xf numFmtId="2" fontId="12" fillId="10" borderId="0" xfId="0" applyNumberFormat="1" applyFont="1" applyFill="1" applyBorder="1" applyAlignment="1">
      <alignment horizontal="center" vertical="center"/>
    </xf>
    <xf numFmtId="0" fontId="10" fillId="0" borderId="1" xfId="0" applyFont="1" applyBorder="1" applyAlignment="1">
      <alignment vertical="center" wrapText="1"/>
    </xf>
    <xf numFmtId="10" fontId="10" fillId="0" borderId="1" xfId="0" applyNumberFormat="1" applyFont="1" applyBorder="1" applyAlignment="1">
      <alignment horizontal="center" vertical="center" wrapText="1"/>
    </xf>
    <xf numFmtId="44" fontId="10" fillId="0" borderId="1" xfId="4" applyFont="1" applyFill="1" applyBorder="1" applyAlignment="1">
      <alignment horizontal="center" vertical="center"/>
    </xf>
    <xf numFmtId="166" fontId="10" fillId="0" borderId="1" xfId="4" applyNumberFormat="1" applyFont="1" applyBorder="1" applyAlignment="1">
      <alignment horizontal="center" vertical="center"/>
    </xf>
    <xf numFmtId="0" fontId="10" fillId="0" borderId="0" xfId="0" applyFont="1" applyBorder="1" applyAlignment="1">
      <alignment vertical="center"/>
    </xf>
    <xf numFmtId="0" fontId="14" fillId="0" borderId="1" xfId="0" applyFont="1" applyBorder="1" applyAlignment="1">
      <alignment horizontal="center" vertical="center" wrapText="1"/>
    </xf>
    <xf numFmtId="0" fontId="14" fillId="10" borderId="1" xfId="0" applyFont="1" applyFill="1" applyBorder="1" applyAlignment="1">
      <alignment vertical="center" wrapText="1"/>
    </xf>
    <xf numFmtId="10" fontId="14" fillId="10" borderId="1" xfId="0" applyNumberFormat="1" applyFont="1" applyFill="1" applyBorder="1" applyAlignment="1">
      <alignment horizontal="center" vertical="center" wrapText="1"/>
    </xf>
    <xf numFmtId="44" fontId="14" fillId="10" borderId="1" xfId="4" applyFont="1" applyFill="1" applyBorder="1" applyAlignment="1">
      <alignment horizontal="center" vertical="center"/>
    </xf>
    <xf numFmtId="166" fontId="14" fillId="0" borderId="1" xfId="4" applyNumberFormat="1" applyFont="1" applyBorder="1" applyAlignment="1">
      <alignment horizontal="center" vertical="center"/>
    </xf>
    <xf numFmtId="0" fontId="14" fillId="0" borderId="0" xfId="0" applyFont="1" applyAlignment="1">
      <alignment vertical="center"/>
    </xf>
    <xf numFmtId="44" fontId="12" fillId="9" borderId="1" xfId="4" applyFont="1" applyFill="1" applyBorder="1" applyAlignment="1">
      <alignment horizontal="center" vertical="center"/>
    </xf>
    <xf numFmtId="2" fontId="12" fillId="10" borderId="5" xfId="0" applyNumberFormat="1" applyFont="1" applyFill="1" applyBorder="1" applyAlignment="1">
      <alignment horizontal="center" vertical="center" wrapText="1"/>
    </xf>
    <xf numFmtId="2" fontId="12" fillId="10" borderId="0" xfId="0" applyNumberFormat="1" applyFont="1" applyFill="1" applyBorder="1" applyAlignment="1">
      <alignment horizontal="center" vertical="center" wrapText="1"/>
    </xf>
    <xf numFmtId="44" fontId="10" fillId="0" borderId="1" xfId="4" applyFont="1" applyFill="1" applyBorder="1" applyAlignment="1">
      <alignment horizontal="center" vertical="center" wrapText="1"/>
    </xf>
    <xf numFmtId="44" fontId="10" fillId="10" borderId="1" xfId="4" applyFont="1" applyFill="1" applyBorder="1" applyAlignment="1">
      <alignment horizontal="center" vertical="center" wrapText="1"/>
    </xf>
    <xf numFmtId="44" fontId="12" fillId="9" borderId="1" xfId="4" applyFont="1" applyFill="1" applyBorder="1" applyAlignment="1">
      <alignment horizontal="center" vertical="center" wrapText="1"/>
    </xf>
    <xf numFmtId="0" fontId="12" fillId="10" borderId="0" xfId="0" applyFont="1" applyFill="1" applyBorder="1" applyAlignment="1">
      <alignment vertical="center"/>
    </xf>
    <xf numFmtId="0" fontId="10" fillId="10" borderId="0" xfId="0" applyFont="1" applyFill="1" applyAlignment="1">
      <alignment vertical="center"/>
    </xf>
    <xf numFmtId="0" fontId="9" fillId="10" borderId="0" xfId="0" applyFont="1" applyFill="1" applyBorder="1" applyAlignment="1">
      <alignment vertical="center" wrapText="1"/>
    </xf>
    <xf numFmtId="0" fontId="9" fillId="10" borderId="0"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Fill="1" applyBorder="1" applyAlignment="1">
      <alignment horizontal="center" vertical="center" wrapText="1"/>
    </xf>
    <xf numFmtId="10" fontId="11" fillId="0" borderId="1" xfId="1" applyNumberFormat="1" applyFont="1" applyBorder="1" applyAlignment="1">
      <alignment horizontal="center" vertical="center" wrapText="1"/>
    </xf>
    <xf numFmtId="168" fontId="11" fillId="0" borderId="1" xfId="3" applyNumberFormat="1" applyFont="1" applyBorder="1" applyAlignment="1">
      <alignment horizontal="center" vertical="center" wrapText="1"/>
    </xf>
    <xf numFmtId="168" fontId="11" fillId="0" borderId="15" xfId="3" applyNumberFormat="1" applyFont="1" applyBorder="1" applyAlignment="1">
      <alignment horizontal="center" vertical="center" wrapText="1"/>
    </xf>
    <xf numFmtId="10" fontId="11" fillId="0" borderId="2" xfId="1" applyNumberFormat="1" applyFont="1" applyBorder="1" applyAlignment="1">
      <alignment horizontal="center" vertical="center" wrapText="1"/>
    </xf>
    <xf numFmtId="0" fontId="11" fillId="0" borderId="0" xfId="0" applyFont="1" applyBorder="1" applyAlignment="1">
      <alignment horizontal="center" vertical="center" wrapText="1"/>
    </xf>
    <xf numFmtId="0" fontId="14" fillId="9" borderId="1" xfId="0" applyFont="1" applyFill="1" applyBorder="1" applyAlignment="1">
      <alignment horizontal="center" vertical="center" wrapText="1"/>
    </xf>
    <xf numFmtId="0" fontId="10" fillId="9" borderId="1" xfId="0" applyFont="1" applyFill="1" applyBorder="1" applyAlignment="1">
      <alignment vertical="center"/>
    </xf>
    <xf numFmtId="1" fontId="12" fillId="9" borderId="1" xfId="4" applyNumberFormat="1" applyFont="1" applyFill="1" applyBorder="1" applyAlignment="1">
      <alignment horizontal="center" vertical="center"/>
    </xf>
    <xf numFmtId="0" fontId="9" fillId="0" borderId="0" xfId="0" applyFont="1" applyBorder="1" applyAlignment="1">
      <alignment horizontal="center" vertical="center" wrapText="1"/>
    </xf>
    <xf numFmtId="0" fontId="14" fillId="10" borderId="0" xfId="0"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167" fontId="11" fillId="10" borderId="1" xfId="0" applyNumberFormat="1" applyFont="1" applyFill="1" applyBorder="1" applyAlignment="1">
      <alignment horizontal="center" vertical="center"/>
    </xf>
    <xf numFmtId="1" fontId="11" fillId="10" borderId="1" xfId="0" applyNumberFormat="1" applyFont="1" applyFill="1" applyBorder="1" applyAlignment="1">
      <alignment horizontal="center" vertical="center"/>
    </xf>
    <xf numFmtId="167" fontId="11" fillId="9" borderId="1" xfId="0" applyNumberFormat="1" applyFont="1" applyFill="1" applyBorder="1" applyAlignment="1">
      <alignment horizontal="center" vertical="center"/>
    </xf>
    <xf numFmtId="0" fontId="11" fillId="10" borderId="0" xfId="0" applyFont="1" applyFill="1" applyBorder="1" applyAlignment="1">
      <alignment horizontal="center" vertical="center"/>
    </xf>
    <xf numFmtId="0" fontId="11" fillId="10" borderId="0" xfId="0" applyFont="1" applyFill="1" applyBorder="1" applyAlignment="1">
      <alignment horizontal="center" vertical="center" wrapText="1"/>
    </xf>
    <xf numFmtId="167" fontId="11" fillId="10" borderId="0" xfId="0" applyNumberFormat="1" applyFont="1" applyFill="1" applyBorder="1" applyAlignment="1">
      <alignment horizontal="center" vertical="center"/>
    </xf>
    <xf numFmtId="1" fontId="11" fillId="10" borderId="0" xfId="0" applyNumberFormat="1" applyFont="1" applyFill="1" applyBorder="1" applyAlignment="1">
      <alignment horizontal="center" vertical="center"/>
    </xf>
    <xf numFmtId="0" fontId="9" fillId="7" borderId="1" xfId="0" applyFont="1" applyFill="1" applyBorder="1" applyAlignment="1">
      <alignment horizontal="center" vertical="center"/>
    </xf>
    <xf numFmtId="44" fontId="11" fillId="9" borderId="1" xfId="4" applyFont="1" applyFill="1" applyBorder="1" applyAlignment="1">
      <alignment horizontal="center" vertical="center"/>
    </xf>
    <xf numFmtId="167" fontId="11" fillId="0" borderId="1" xfId="0" applyNumberFormat="1" applyFont="1" applyBorder="1" applyAlignment="1">
      <alignment vertical="center"/>
    </xf>
    <xf numFmtId="166" fontId="11" fillId="9" borderId="1" xfId="0" applyNumberFormat="1" applyFont="1" applyFill="1" applyBorder="1" applyAlignment="1">
      <alignment vertical="center"/>
    </xf>
    <xf numFmtId="0" fontId="10" fillId="0" borderId="0" xfId="0" applyFont="1"/>
    <xf numFmtId="0" fontId="12" fillId="7" borderId="1" xfId="0" applyFont="1" applyFill="1" applyBorder="1" applyAlignment="1">
      <alignment vertical="center" wrapText="1"/>
    </xf>
    <xf numFmtId="0" fontId="12" fillId="7" borderId="1" xfId="0" applyFont="1" applyFill="1" applyBorder="1" applyAlignment="1">
      <alignment vertical="center"/>
    </xf>
    <xf numFmtId="0" fontId="12" fillId="7" borderId="2" xfId="0" applyFont="1" applyFill="1" applyBorder="1" applyAlignment="1">
      <alignment vertical="center" wrapText="1"/>
    </xf>
    <xf numFmtId="0" fontId="12" fillId="7" borderId="3" xfId="0" applyFont="1" applyFill="1" applyBorder="1" applyAlignment="1">
      <alignment vertical="center" wrapText="1"/>
    </xf>
    <xf numFmtId="0" fontId="10" fillId="7" borderId="3" xfId="0" applyFont="1" applyFill="1" applyBorder="1" applyAlignment="1">
      <alignment vertical="center"/>
    </xf>
    <xf numFmtId="0" fontId="10" fillId="7" borderId="4" xfId="0" applyFont="1" applyFill="1" applyBorder="1" applyAlignment="1">
      <alignment vertical="center"/>
    </xf>
    <xf numFmtId="169" fontId="10" fillId="0" borderId="1" xfId="0" applyNumberFormat="1" applyFont="1" applyBorder="1" applyAlignment="1">
      <alignment horizontal="center" vertical="center"/>
    </xf>
    <xf numFmtId="44" fontId="10" fillId="0" borderId="1" xfId="4" applyFont="1" applyBorder="1" applyAlignment="1">
      <alignment horizontal="center" vertical="center"/>
    </xf>
    <xf numFmtId="0" fontId="12" fillId="9" borderId="2" xfId="0" applyFont="1" applyFill="1" applyBorder="1" applyAlignment="1">
      <alignment horizontal="center" vertical="center" wrapText="1"/>
    </xf>
    <xf numFmtId="0" fontId="10" fillId="10" borderId="1" xfId="0" applyFont="1" applyFill="1" applyBorder="1" applyAlignment="1">
      <alignment horizontal="center" vertical="center" wrapText="1"/>
    </xf>
    <xf numFmtId="44" fontId="10" fillId="10" borderId="1" xfId="4" applyFont="1" applyFill="1" applyBorder="1" applyAlignment="1">
      <alignment vertical="center"/>
    </xf>
    <xf numFmtId="0" fontId="11" fillId="10" borderId="1" xfId="0" applyFont="1" applyFill="1" applyBorder="1" applyAlignment="1">
      <alignment vertical="center"/>
    </xf>
    <xf numFmtId="0" fontId="10" fillId="10" borderId="1" xfId="0" applyFont="1" applyFill="1" applyBorder="1" applyAlignment="1">
      <alignment vertical="center" wrapText="1"/>
    </xf>
    <xf numFmtId="0" fontId="10" fillId="0" borderId="4" xfId="0" applyFont="1" applyBorder="1" applyAlignment="1">
      <alignment horizontal="center" vertical="center"/>
    </xf>
    <xf numFmtId="0" fontId="11" fillId="0" borderId="4" xfId="4" applyNumberFormat="1" applyFont="1" applyBorder="1" applyAlignment="1">
      <alignment horizontal="center" vertical="center"/>
    </xf>
    <xf numFmtId="44" fontId="10" fillId="10" borderId="4" xfId="4" applyFont="1" applyFill="1" applyBorder="1" applyAlignment="1">
      <alignment vertical="center"/>
    </xf>
    <xf numFmtId="0" fontId="12" fillId="7" borderId="3" xfId="0" applyFont="1" applyFill="1" applyBorder="1" applyAlignment="1">
      <alignment horizontal="left" vertical="center" wrapText="1"/>
    </xf>
    <xf numFmtId="0" fontId="12" fillId="9" borderId="2"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11" xfId="0" applyFont="1" applyFill="1" applyBorder="1" applyAlignment="1">
      <alignment horizontal="center" vertical="center"/>
    </xf>
    <xf numFmtId="0" fontId="12" fillId="10" borderId="0" xfId="0" applyFont="1" applyFill="1" applyBorder="1" applyAlignment="1">
      <alignment horizontal="center" vertical="center"/>
    </xf>
    <xf numFmtId="44" fontId="12" fillId="10" borderId="0" xfId="4" applyFont="1" applyFill="1" applyBorder="1" applyAlignment="1">
      <alignment horizontal="center" vertical="center"/>
    </xf>
    <xf numFmtId="0" fontId="12" fillId="11" borderId="2" xfId="0" applyFont="1" applyFill="1" applyBorder="1" applyAlignment="1">
      <alignment horizontal="center" vertical="center"/>
    </xf>
    <xf numFmtId="0" fontId="12" fillId="11" borderId="3" xfId="0" applyFont="1" applyFill="1" applyBorder="1" applyAlignment="1">
      <alignment horizontal="center" vertical="center"/>
    </xf>
    <xf numFmtId="0" fontId="12" fillId="11" borderId="1" xfId="0" applyFont="1" applyFill="1" applyBorder="1" applyAlignment="1">
      <alignment horizontal="center" vertical="center" wrapText="1"/>
    </xf>
    <xf numFmtId="0" fontId="12" fillId="9" borderId="1" xfId="0" applyFont="1" applyFill="1" applyBorder="1" applyAlignment="1">
      <alignment vertical="center"/>
    </xf>
    <xf numFmtId="44" fontId="12" fillId="10" borderId="1" xfId="4" applyFont="1" applyFill="1" applyBorder="1" applyAlignment="1">
      <alignment horizontal="center" vertical="center"/>
    </xf>
    <xf numFmtId="0" fontId="10" fillId="0" borderId="1" xfId="0" applyFont="1" applyBorder="1" applyAlignment="1">
      <alignment horizontal="left"/>
    </xf>
    <xf numFmtId="0" fontId="10" fillId="0" borderId="1" xfId="0" applyFont="1" applyBorder="1" applyAlignment="1">
      <alignment horizontal="center"/>
    </xf>
    <xf numFmtId="44" fontId="10" fillId="0" borderId="1" xfId="4" applyFont="1" applyBorder="1" applyAlignment="1">
      <alignment horizontal="center"/>
    </xf>
    <xf numFmtId="0" fontId="12" fillId="7" borderId="10" xfId="0" applyFont="1" applyFill="1" applyBorder="1" applyAlignment="1">
      <alignment horizontal="center" vertical="center" wrapText="1"/>
    </xf>
    <xf numFmtId="0" fontId="12" fillId="7" borderId="10" xfId="0" applyFont="1" applyFill="1" applyBorder="1" applyAlignment="1">
      <alignment horizontal="center" wrapText="1"/>
    </xf>
    <xf numFmtId="0" fontId="12" fillId="7" borderId="10" xfId="0" applyFont="1" applyFill="1" applyBorder="1" applyAlignment="1">
      <alignment vertical="center" wrapText="1"/>
    </xf>
    <xf numFmtId="0" fontId="12" fillId="7" borderId="1" xfId="0" applyFont="1" applyFill="1" applyBorder="1" applyAlignment="1">
      <alignment horizontal="center" vertical="center"/>
    </xf>
    <xf numFmtId="0" fontId="10" fillId="10" borderId="0" xfId="0" applyFont="1" applyFill="1"/>
    <xf numFmtId="0" fontId="10" fillId="10" borderId="1" xfId="0" applyFont="1" applyFill="1" applyBorder="1" applyAlignment="1">
      <alignment horizontal="center" vertical="center"/>
    </xf>
    <xf numFmtId="44" fontId="10" fillId="10" borderId="2" xfId="4" applyFont="1" applyFill="1" applyBorder="1" applyAlignment="1">
      <alignment horizontal="center" vertical="center"/>
    </xf>
    <xf numFmtId="0" fontId="10" fillId="10" borderId="1" xfId="0" applyFont="1" applyFill="1" applyBorder="1" applyAlignment="1">
      <alignment horizontal="justify" vertical="justify" wrapText="1"/>
    </xf>
    <xf numFmtId="44" fontId="10" fillId="0" borderId="2" xfId="4" applyFont="1" applyBorder="1" applyAlignment="1">
      <alignment horizontal="center" vertical="center"/>
    </xf>
    <xf numFmtId="0" fontId="12" fillId="0" borderId="1" xfId="0" quotePrefix="1" applyFont="1" applyBorder="1" applyAlignment="1">
      <alignment horizontal="center" vertical="center"/>
    </xf>
    <xf numFmtId="0" fontId="10" fillId="10" borderId="0" xfId="0" applyFont="1" applyFill="1" applyAlignment="1">
      <alignment horizontal="center"/>
    </xf>
    <xf numFmtId="0" fontId="12" fillId="0" borderId="0" xfId="0" applyFont="1" applyFill="1" applyBorder="1" applyAlignment="1">
      <alignment horizontal="center" vertical="center" wrapText="1"/>
    </xf>
    <xf numFmtId="44" fontId="12" fillId="0" borderId="0" xfId="4" applyFont="1" applyFill="1" applyBorder="1" applyAlignment="1">
      <alignment horizontal="center" vertical="center" wrapText="1"/>
    </xf>
    <xf numFmtId="0" fontId="10" fillId="0" borderId="0" xfId="0" applyFont="1" applyFill="1" applyBorder="1"/>
    <xf numFmtId="0" fontId="12" fillId="10" borderId="0" xfId="0" applyFont="1" applyFill="1" applyBorder="1" applyAlignment="1">
      <alignment vertical="center" wrapText="1"/>
    </xf>
    <xf numFmtId="0" fontId="12" fillId="7" borderId="2" xfId="0" applyFont="1" applyFill="1" applyBorder="1" applyAlignment="1">
      <alignment horizontal="center" vertical="center"/>
    </xf>
    <xf numFmtId="0" fontId="12" fillId="11" borderId="1" xfId="0" applyFont="1" applyFill="1" applyBorder="1" applyAlignment="1">
      <alignment vertical="center" wrapText="1"/>
    </xf>
    <xf numFmtId="0" fontId="12" fillId="10" borderId="0" xfId="0" applyFont="1" applyFill="1" applyBorder="1" applyAlignment="1">
      <alignment horizontal="center" vertical="center" wrapText="1"/>
    </xf>
    <xf numFmtId="0" fontId="10" fillId="10" borderId="1" xfId="0" applyFont="1" applyFill="1" applyBorder="1" applyAlignment="1">
      <alignment vertical="center"/>
    </xf>
    <xf numFmtId="166" fontId="12" fillId="9" borderId="1" xfId="0" applyNumberFormat="1" applyFont="1" applyFill="1" applyBorder="1" applyAlignment="1">
      <alignment vertical="center" wrapText="1"/>
    </xf>
    <xf numFmtId="166" fontId="12" fillId="10" borderId="0" xfId="0" applyNumberFormat="1" applyFont="1" applyFill="1" applyBorder="1" applyAlignment="1">
      <alignment vertical="center" wrapText="1"/>
    </xf>
    <xf numFmtId="0" fontId="10" fillId="10" borderId="0" xfId="0" applyFont="1" applyFill="1" applyBorder="1" applyAlignment="1">
      <alignment horizontal="center"/>
    </xf>
    <xf numFmtId="44" fontId="10" fillId="10" borderId="0" xfId="4" applyFont="1" applyFill="1" applyBorder="1" applyAlignment="1">
      <alignment horizontal="center" vertical="center"/>
    </xf>
    <xf numFmtId="0" fontId="15" fillId="10" borderId="0" xfId="0" applyFont="1" applyFill="1" applyBorder="1" applyAlignment="1">
      <alignment vertical="center" wrapText="1"/>
    </xf>
    <xf numFmtId="0" fontId="14" fillId="0" borderId="0" xfId="0" applyFont="1"/>
    <xf numFmtId="0" fontId="10" fillId="10" borderId="2" xfId="0" applyFont="1" applyFill="1" applyBorder="1" applyAlignment="1">
      <alignment horizontal="center" vertical="center"/>
    </xf>
    <xf numFmtId="0" fontId="10" fillId="10" borderId="3" xfId="0" applyFont="1" applyFill="1" applyBorder="1" applyAlignment="1">
      <alignment horizontal="center" vertical="center"/>
    </xf>
    <xf numFmtId="10" fontId="10" fillId="10" borderId="3" xfId="0" applyNumberFormat="1" applyFont="1" applyFill="1" applyBorder="1" applyAlignment="1">
      <alignment horizontal="center" vertical="center"/>
    </xf>
    <xf numFmtId="0" fontId="10" fillId="0" borderId="15" xfId="0" applyFont="1" applyBorder="1" applyAlignment="1">
      <alignment horizontal="center" vertical="center" wrapText="1"/>
    </xf>
    <xf numFmtId="0" fontId="10" fillId="0" borderId="15" xfId="0" applyFont="1" applyBorder="1" applyAlignment="1">
      <alignment vertical="center" wrapText="1"/>
    </xf>
    <xf numFmtId="44" fontId="10" fillId="0" borderId="15" xfId="4" applyFont="1" applyBorder="1" applyAlignment="1">
      <alignment horizontal="center" vertical="center" wrapText="1"/>
    </xf>
    <xf numFmtId="10" fontId="10" fillId="0" borderId="1" xfId="1" applyNumberFormat="1" applyFont="1" applyBorder="1" applyAlignment="1">
      <alignment horizontal="center" vertical="center"/>
    </xf>
    <xf numFmtId="44" fontId="10" fillId="10" borderId="0" xfId="4" applyFont="1" applyFill="1" applyBorder="1" applyAlignment="1">
      <alignment vertical="center"/>
    </xf>
    <xf numFmtId="0" fontId="12" fillId="7" borderId="15" xfId="0" applyFont="1" applyFill="1" applyBorder="1" applyAlignment="1">
      <alignment horizontal="center" vertical="center" wrapText="1"/>
    </xf>
    <xf numFmtId="0" fontId="12" fillId="11" borderId="15" xfId="0" applyFont="1" applyFill="1" applyBorder="1" applyAlignment="1">
      <alignment vertical="center" wrapText="1"/>
    </xf>
    <xf numFmtId="166" fontId="10" fillId="10" borderId="1" xfId="0" applyNumberFormat="1" applyFont="1" applyFill="1" applyBorder="1" applyAlignment="1">
      <alignment horizontal="center" vertical="center" wrapText="1"/>
    </xf>
    <xf numFmtId="10" fontId="10" fillId="10" borderId="1" xfId="0" applyNumberFormat="1" applyFont="1" applyFill="1" applyBorder="1" applyAlignment="1">
      <alignment horizontal="center" vertical="center" wrapText="1"/>
    </xf>
    <xf numFmtId="166" fontId="12" fillId="9" borderId="1" xfId="0" applyNumberFormat="1" applyFont="1" applyFill="1" applyBorder="1" applyAlignment="1">
      <alignment horizontal="center" vertical="center" wrapText="1"/>
    </xf>
    <xf numFmtId="0" fontId="10" fillId="10" borderId="0"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0" fillId="10" borderId="15" xfId="0" applyFont="1" applyFill="1" applyBorder="1" applyAlignment="1">
      <alignment vertical="center" wrapText="1"/>
    </xf>
    <xf numFmtId="166" fontId="10" fillId="10" borderId="15" xfId="0" applyNumberFormat="1" applyFont="1" applyFill="1" applyBorder="1" applyAlignment="1">
      <alignment vertical="center" wrapText="1"/>
    </xf>
    <xf numFmtId="0" fontId="10" fillId="13" borderId="1" xfId="0" applyFont="1" applyFill="1" applyBorder="1" applyAlignment="1">
      <alignment horizontal="center" vertical="center" wrapText="1"/>
    </xf>
    <xf numFmtId="0" fontId="12" fillId="13" borderId="1" xfId="0" applyFont="1" applyFill="1" applyBorder="1" applyAlignment="1">
      <alignment vertical="center" wrapText="1"/>
    </xf>
    <xf numFmtId="166" fontId="12" fillId="13" borderId="1" xfId="0" applyNumberFormat="1" applyFont="1" applyFill="1" applyBorder="1" applyAlignment="1">
      <alignment vertical="center" wrapText="1"/>
    </xf>
    <xf numFmtId="0" fontId="10" fillId="10" borderId="0" xfId="0" applyFont="1" applyFill="1" applyBorder="1"/>
    <xf numFmtId="0" fontId="10" fillId="10" borderId="0" xfId="0" applyFont="1" applyFill="1" applyBorder="1" applyAlignment="1">
      <alignment vertical="center" wrapText="1"/>
    </xf>
    <xf numFmtId="166" fontId="10" fillId="10" borderId="0" xfId="0" applyNumberFormat="1" applyFont="1" applyFill="1" applyBorder="1" applyAlignment="1">
      <alignment horizontal="center" vertical="center" wrapText="1"/>
    </xf>
    <xf numFmtId="0" fontId="12" fillId="10" borderId="0" xfId="0" applyFont="1" applyFill="1" applyAlignment="1">
      <alignment vertical="center"/>
    </xf>
    <xf numFmtId="0" fontId="12" fillId="11" borderId="1" xfId="0" applyFont="1" applyFill="1" applyBorder="1" applyAlignment="1">
      <alignment horizontal="center" vertical="center"/>
    </xf>
    <xf numFmtId="167" fontId="9" fillId="11"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5" quotePrefix="1" applyNumberFormat="1" applyFont="1" applyFill="1" applyBorder="1" applyAlignment="1" applyProtection="1">
      <alignment horizontal="center" vertical="center"/>
    </xf>
    <xf numFmtId="167" fontId="11" fillId="0" borderId="1" xfId="0" applyNumberFormat="1" applyFont="1" applyFill="1" applyBorder="1" applyAlignment="1">
      <alignment horizontal="center" vertical="center"/>
    </xf>
    <xf numFmtId="167" fontId="10" fillId="0" borderId="0" xfId="0" applyNumberFormat="1" applyFont="1"/>
    <xf numFmtId="0" fontId="10" fillId="0" borderId="1" xfId="0" applyFont="1" applyBorder="1"/>
    <xf numFmtId="166" fontId="10" fillId="0" borderId="0" xfId="0" applyNumberFormat="1" applyFont="1"/>
    <xf numFmtId="166" fontId="10" fillId="0" borderId="1" xfId="0" applyNumberFormat="1" applyFont="1" applyBorder="1"/>
    <xf numFmtId="167" fontId="12" fillId="9" borderId="2" xfId="0" applyNumberFormat="1" applyFont="1" applyFill="1" applyBorder="1" applyAlignment="1"/>
    <xf numFmtId="167" fontId="12" fillId="9" borderId="4" xfId="0" applyNumberFormat="1" applyFont="1" applyFill="1" applyBorder="1" applyAlignment="1"/>
    <xf numFmtId="0" fontId="19" fillId="0" borderId="1" xfId="0" applyFont="1" applyBorder="1" applyAlignment="1">
      <alignment horizontal="center" vertical="center" wrapText="1"/>
    </xf>
    <xf numFmtId="43" fontId="19" fillId="0" borderId="1" xfId="3" applyFont="1" applyBorder="1" applyAlignment="1">
      <alignment horizontal="center" vertical="center" wrapText="1"/>
    </xf>
    <xf numFmtId="2" fontId="19" fillId="0" borderId="1" xfId="0" applyNumberFormat="1" applyFont="1" applyBorder="1" applyAlignment="1">
      <alignment horizontal="center" vertical="center" wrapText="1"/>
    </xf>
    <xf numFmtId="0" fontId="19" fillId="0" borderId="0" xfId="0" applyFont="1" applyAlignment="1">
      <alignment horizontal="center" vertical="center" wrapText="1"/>
    </xf>
    <xf numFmtId="44" fontId="2" fillId="0" borderId="1" xfId="4" applyFont="1" applyBorder="1" applyAlignment="1">
      <alignment horizontal="center" vertical="center" wrapText="1"/>
    </xf>
    <xf numFmtId="44" fontId="3" fillId="0" borderId="1" xfId="4" applyFont="1" applyBorder="1" applyAlignment="1">
      <alignment horizontal="center" vertical="center" wrapText="1"/>
    </xf>
    <xf numFmtId="0" fontId="20" fillId="0" borderId="0" xfId="0" applyFont="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left" vertical="center" wrapText="1"/>
    </xf>
    <xf numFmtId="0" fontId="9" fillId="6" borderId="6" xfId="0" applyFont="1" applyFill="1" applyBorder="1" applyAlignment="1">
      <alignment horizontal="center" vertical="center"/>
    </xf>
    <xf numFmtId="0" fontId="9" fillId="6" borderId="0" xfId="0" applyFont="1" applyFill="1" applyBorder="1" applyAlignment="1">
      <alignment horizontal="center" vertical="center"/>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11" fillId="0" borderId="1" xfId="0" applyFont="1" applyFill="1" applyBorder="1" applyAlignment="1">
      <alignment horizontal="left" vertical="center"/>
    </xf>
    <xf numFmtId="0" fontId="12" fillId="8" borderId="2"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2" fillId="8" borderId="1" xfId="0" applyFont="1" applyFill="1" applyBorder="1" applyAlignment="1">
      <alignment horizontal="center" vertical="center"/>
    </xf>
    <xf numFmtId="0" fontId="10" fillId="0" borderId="1" xfId="0" applyFont="1" applyBorder="1" applyAlignment="1">
      <alignment horizontal="center" vertical="center" wrapText="1"/>
    </xf>
    <xf numFmtId="44" fontId="10" fillId="9" borderId="1" xfId="4"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10" borderId="1" xfId="0" applyFont="1" applyFill="1" applyBorder="1" applyAlignment="1">
      <alignment horizontal="left" vertical="top" wrapText="1"/>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4" xfId="0" applyFont="1" applyFill="1" applyBorder="1" applyAlignment="1">
      <alignment horizontal="center" vertical="center"/>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12" fillId="10" borderId="1" xfId="0" applyFont="1" applyFill="1" applyBorder="1" applyAlignment="1">
      <alignment horizontal="left" vertical="center" wrapText="1"/>
    </xf>
    <xf numFmtId="0" fontId="12" fillId="10" borderId="10" xfId="0" applyFont="1" applyFill="1" applyBorder="1" applyAlignment="1">
      <alignment horizontal="left" vertical="center" wrapText="1"/>
    </xf>
    <xf numFmtId="0" fontId="12" fillId="10" borderId="6"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7" borderId="10"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1" xfId="0" applyFont="1" applyFill="1" applyBorder="1" applyAlignment="1">
      <alignment horizontal="center" vertical="center"/>
    </xf>
    <xf numFmtId="0" fontId="12" fillId="11" borderId="1" xfId="0" applyFont="1" applyFill="1" applyBorder="1" applyAlignment="1">
      <alignment horizontal="center" vertical="center"/>
    </xf>
    <xf numFmtId="0" fontId="12" fillId="7" borderId="12"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12" fillId="10" borderId="0" xfId="0" applyFont="1" applyFill="1" applyBorder="1" applyAlignment="1">
      <alignment horizontal="center" vertical="center" wrapText="1"/>
    </xf>
    <xf numFmtId="44" fontId="12" fillId="9" borderId="2" xfId="4" applyFont="1" applyFill="1" applyBorder="1" applyAlignment="1">
      <alignment horizontal="center" vertical="center" wrapText="1"/>
    </xf>
    <xf numFmtId="44" fontId="12" fillId="9" borderId="4" xfId="4"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1"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3" xfId="0" applyFont="1" applyFill="1" applyBorder="1" applyAlignment="1">
      <alignment horizontal="center" vertical="center" wrapText="1"/>
    </xf>
    <xf numFmtId="44" fontId="12" fillId="9" borderId="1" xfId="4" applyFont="1" applyFill="1" applyBorder="1" applyAlignment="1">
      <alignment horizontal="center" vertical="center"/>
    </xf>
    <xf numFmtId="0" fontId="12" fillId="10" borderId="2" xfId="0" applyFont="1" applyFill="1" applyBorder="1" applyAlignment="1">
      <alignment horizontal="center" vertical="center"/>
    </xf>
    <xf numFmtId="0" fontId="12" fillId="10" borderId="3"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44" fontId="12" fillId="9" borderId="2" xfId="4" applyFont="1" applyFill="1" applyBorder="1" applyAlignment="1">
      <alignment horizontal="center" vertical="center"/>
    </xf>
    <xf numFmtId="44" fontId="12" fillId="9" borderId="4" xfId="4" applyFont="1" applyFill="1" applyBorder="1" applyAlignment="1">
      <alignment horizontal="center" vertical="center"/>
    </xf>
    <xf numFmtId="44" fontId="12" fillId="9" borderId="3" xfId="4" applyFont="1" applyFill="1" applyBorder="1" applyAlignment="1">
      <alignment horizontal="center" vertic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44" fontId="10" fillId="0" borderId="2" xfId="4" applyFont="1" applyBorder="1" applyAlignment="1">
      <alignment horizontal="center"/>
    </xf>
    <xf numFmtId="44" fontId="10" fillId="0" borderId="4" xfId="4" applyFont="1" applyBorder="1" applyAlignment="1">
      <alignment horizontal="center"/>
    </xf>
    <xf numFmtId="44" fontId="12" fillId="9" borderId="1" xfId="4" applyFont="1" applyFill="1" applyBorder="1" applyAlignment="1">
      <alignment horizontal="center" vertical="center" wrapText="1"/>
    </xf>
    <xf numFmtId="0" fontId="12" fillId="9" borderId="4" xfId="0" applyFont="1" applyFill="1" applyBorder="1" applyAlignment="1">
      <alignment horizontal="center" vertical="center"/>
    </xf>
    <xf numFmtId="0" fontId="12" fillId="9" borderId="1" xfId="0" applyFont="1" applyFill="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10" fontId="11" fillId="0" borderId="1" xfId="1" applyNumberFormat="1" applyFont="1" applyBorder="1" applyAlignment="1">
      <alignment horizontal="center" vertical="center"/>
    </xf>
    <xf numFmtId="0" fontId="10" fillId="9" borderId="2" xfId="0" applyFont="1" applyFill="1" applyBorder="1" applyAlignment="1">
      <alignment horizontal="center" vertical="center"/>
    </xf>
    <xf numFmtId="0" fontId="10" fillId="9" borderId="4" xfId="0" applyFont="1" applyFill="1" applyBorder="1" applyAlignment="1">
      <alignment horizontal="center" vertical="center"/>
    </xf>
    <xf numFmtId="10" fontId="10" fillId="9" borderId="2" xfId="0" applyNumberFormat="1" applyFont="1" applyFill="1" applyBorder="1" applyAlignment="1">
      <alignment horizontal="center" vertical="center"/>
    </xf>
    <xf numFmtId="10" fontId="10" fillId="9" borderId="4" xfId="0" applyNumberFormat="1" applyFont="1" applyFill="1" applyBorder="1" applyAlignment="1">
      <alignment horizontal="center" vertical="center"/>
    </xf>
    <xf numFmtId="0" fontId="12" fillId="12" borderId="2" xfId="0" applyFont="1" applyFill="1" applyBorder="1" applyAlignment="1">
      <alignment horizontal="center" vertical="center"/>
    </xf>
    <xf numFmtId="0" fontId="12" fillId="12" borderId="3" xfId="0" applyFont="1" applyFill="1" applyBorder="1" applyAlignment="1">
      <alignment horizontal="center" vertical="center"/>
    </xf>
    <xf numFmtId="0" fontId="12" fillId="12" borderId="4"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11" borderId="4" xfId="0" applyFont="1" applyFill="1" applyBorder="1" applyAlignment="1">
      <alignment horizontal="center" vertical="center"/>
    </xf>
    <xf numFmtId="0" fontId="15" fillId="12" borderId="2"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10" fontId="11" fillId="0" borderId="13" xfId="1" applyNumberFormat="1" applyFont="1" applyBorder="1" applyAlignment="1">
      <alignment horizontal="center" vertical="center"/>
    </xf>
    <xf numFmtId="10" fontId="11" fillId="0" borderId="14" xfId="1" applyNumberFormat="1" applyFont="1" applyBorder="1" applyAlignment="1">
      <alignment horizontal="center" vertical="center"/>
    </xf>
    <xf numFmtId="10" fontId="11" fillId="0" borderId="7" xfId="1" applyNumberFormat="1" applyFont="1" applyBorder="1" applyAlignment="1">
      <alignment horizontal="center" vertical="center"/>
    </xf>
    <xf numFmtId="10" fontId="11" fillId="0" borderId="8" xfId="1" applyNumberFormat="1"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0" xfId="0" applyFont="1" applyAlignment="1">
      <alignment horizontal="left"/>
    </xf>
    <xf numFmtId="0" fontId="16" fillId="0" borderId="0" xfId="0" applyFont="1" applyAlignment="1">
      <alignment horizontal="center"/>
    </xf>
    <xf numFmtId="0" fontId="10" fillId="0" borderId="0" xfId="0" applyFont="1" applyAlignment="1">
      <alignment horizontal="center"/>
    </xf>
    <xf numFmtId="166" fontId="10" fillId="10" borderId="2" xfId="0" applyNumberFormat="1" applyFont="1" applyFill="1" applyBorder="1" applyAlignment="1">
      <alignment horizontal="center" vertical="center" wrapText="1"/>
    </xf>
    <xf numFmtId="166" fontId="10" fillId="10" borderId="4" xfId="0" applyNumberFormat="1" applyFont="1" applyFill="1" applyBorder="1" applyAlignment="1">
      <alignment horizontal="center" vertical="center" wrapText="1"/>
    </xf>
    <xf numFmtId="0" fontId="12" fillId="12" borderId="1" xfId="0" applyFont="1" applyFill="1" applyBorder="1" applyAlignment="1">
      <alignment horizontal="center" vertical="center"/>
    </xf>
    <xf numFmtId="0" fontId="12" fillId="9" borderId="2" xfId="0" applyFont="1" applyFill="1" applyBorder="1" applyAlignment="1">
      <alignment horizontal="center"/>
    </xf>
    <xf numFmtId="0" fontId="12" fillId="9" borderId="3" xfId="0" applyFont="1" applyFill="1" applyBorder="1" applyAlignment="1">
      <alignment horizontal="center"/>
    </xf>
    <xf numFmtId="0" fontId="12" fillId="9" borderId="4" xfId="0" applyFont="1" applyFill="1" applyBorder="1" applyAlignment="1">
      <alignment horizontal="center"/>
    </xf>
    <xf numFmtId="0" fontId="10" fillId="0" borderId="0" xfId="0" applyFont="1" applyAlignment="1">
      <alignment horizontal="left" vertical="center" wrapText="1"/>
    </xf>
    <xf numFmtId="0" fontId="10" fillId="0" borderId="0" xfId="0" applyFont="1" applyAlignment="1">
      <alignment horizontal="left" vertical="top"/>
    </xf>
  </cellXfs>
  <cellStyles count="6">
    <cellStyle name="Moeda" xfId="4" builtinId="4"/>
    <cellStyle name="Normal" xfId="0" builtinId="0"/>
    <cellStyle name="Normal 2" xfId="2"/>
    <cellStyle name="Porcentagem" xfId="1" builtinId="5"/>
    <cellStyle name="Vírgula" xfId="3" builtinId="3"/>
    <cellStyle name="Vírgula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4"/>
  <sheetViews>
    <sheetView tabSelected="1" workbookViewId="0">
      <selection activeCell="F11" sqref="F11"/>
    </sheetView>
  </sheetViews>
  <sheetFormatPr defaultRowHeight="16.5" x14ac:dyDescent="0.3"/>
  <cols>
    <col min="1" max="1" width="6.140625" style="1" customWidth="1"/>
    <col min="2" max="2" width="28.7109375" style="1" customWidth="1"/>
    <col min="3" max="3" width="12" style="1" bestFit="1" customWidth="1"/>
    <col min="4" max="4" width="12" style="1" customWidth="1"/>
    <col min="5" max="5" width="10.5703125" style="1" customWidth="1"/>
    <col min="6" max="6" width="12.140625" style="1" bestFit="1" customWidth="1"/>
    <col min="7" max="7" width="15.42578125" style="1" customWidth="1"/>
    <col min="8" max="8" width="9.140625" style="1"/>
    <col min="9" max="9" width="12.42578125" style="1" bestFit="1" customWidth="1"/>
    <col min="10" max="10" width="11.42578125" style="1" bestFit="1" customWidth="1"/>
    <col min="11" max="13" width="9.140625" style="1"/>
    <col min="14" max="14" width="12" style="1" bestFit="1" customWidth="1"/>
    <col min="15" max="16384" width="9.140625" style="1"/>
  </cols>
  <sheetData>
    <row r="1" spans="1:10" s="2" customFormat="1" x14ac:dyDescent="0.25">
      <c r="A1" s="214" t="s">
        <v>235</v>
      </c>
      <c r="B1" s="214"/>
      <c r="C1" s="214"/>
      <c r="D1" s="214"/>
      <c r="E1" s="214"/>
      <c r="F1" s="214"/>
      <c r="G1" s="214"/>
    </row>
    <row r="2" spans="1:10" s="2" customFormat="1" ht="30" customHeight="1" x14ac:dyDescent="0.25">
      <c r="A2" s="215" t="s">
        <v>239</v>
      </c>
      <c r="B2" s="216"/>
      <c r="C2" s="215" t="s">
        <v>238</v>
      </c>
      <c r="D2" s="217"/>
      <c r="E2" s="217"/>
      <c r="F2" s="217"/>
      <c r="G2" s="216"/>
    </row>
    <row r="3" spans="1:10" s="2" customFormat="1" x14ac:dyDescent="0.25">
      <c r="A3" s="214" t="s">
        <v>11</v>
      </c>
      <c r="B3" s="214"/>
      <c r="C3" s="214"/>
      <c r="D3" s="214"/>
      <c r="E3" s="214"/>
      <c r="F3" s="214"/>
      <c r="G3" s="214"/>
    </row>
    <row r="4" spans="1:10" s="2" customFormat="1" x14ac:dyDescent="0.25">
      <c r="A4" s="214" t="s">
        <v>12</v>
      </c>
      <c r="B4" s="214"/>
      <c r="C4" s="214" t="s">
        <v>44</v>
      </c>
      <c r="D4" s="214"/>
      <c r="E4" s="214"/>
      <c r="F4" s="214"/>
      <c r="G4" s="214"/>
    </row>
    <row r="5" spans="1:10" s="2" customFormat="1" x14ac:dyDescent="0.25">
      <c r="A5" s="214" t="s">
        <v>13</v>
      </c>
      <c r="B5" s="214"/>
      <c r="C5" s="220"/>
      <c r="D5" s="220"/>
      <c r="E5" s="220"/>
      <c r="F5" s="220"/>
      <c r="G5" s="220"/>
    </row>
    <row r="6" spans="1:10" s="2" customFormat="1" x14ac:dyDescent="0.25">
      <c r="A6" s="214" t="s">
        <v>14</v>
      </c>
      <c r="B6" s="214"/>
      <c r="C6" s="221">
        <v>35000</v>
      </c>
      <c r="D6" s="221"/>
      <c r="E6" s="221"/>
      <c r="F6" s="221"/>
      <c r="G6" s="221"/>
    </row>
    <row r="7" spans="1:10" s="2" customFormat="1" x14ac:dyDescent="0.25">
      <c r="A7" s="215" t="s">
        <v>236</v>
      </c>
      <c r="B7" s="216"/>
      <c r="C7" s="222" t="s">
        <v>237</v>
      </c>
      <c r="D7" s="223"/>
      <c r="E7" s="223"/>
      <c r="F7" s="223"/>
      <c r="G7" s="224"/>
    </row>
    <row r="8" spans="1:10" s="2" customFormat="1" x14ac:dyDescent="0.25">
      <c r="A8" s="225" t="s">
        <v>15</v>
      </c>
      <c r="B8" s="225"/>
      <c r="C8" s="8">
        <v>22400</v>
      </c>
      <c r="D8" s="9"/>
      <c r="E8" s="226"/>
      <c r="F8" s="227"/>
      <c r="G8" s="228"/>
    </row>
    <row r="9" spans="1:10" s="2" customFormat="1" ht="33" x14ac:dyDescent="0.25">
      <c r="A9" s="12" t="s">
        <v>0</v>
      </c>
      <c r="B9" s="12" t="s">
        <v>1</v>
      </c>
      <c r="C9" s="12" t="s">
        <v>10</v>
      </c>
      <c r="D9" s="12" t="s">
        <v>42</v>
      </c>
      <c r="E9" s="12" t="s">
        <v>3</v>
      </c>
      <c r="F9" s="12" t="s">
        <v>4</v>
      </c>
      <c r="G9" s="12" t="s">
        <v>5</v>
      </c>
    </row>
    <row r="10" spans="1:10" s="2" customFormat="1" x14ac:dyDescent="0.25">
      <c r="A10" s="14">
        <v>1</v>
      </c>
      <c r="B10" s="229" t="s">
        <v>6</v>
      </c>
      <c r="C10" s="229"/>
      <c r="D10" s="229"/>
      <c r="E10" s="229"/>
      <c r="F10" s="229"/>
      <c r="G10" s="229"/>
    </row>
    <row r="11" spans="1:10" s="2" customFormat="1" ht="33" x14ac:dyDescent="0.25">
      <c r="A11" s="14" t="s">
        <v>17</v>
      </c>
      <c r="B11" s="14" t="s">
        <v>229</v>
      </c>
      <c r="C11" s="14" t="s">
        <v>7</v>
      </c>
      <c r="D11" s="10">
        <f>F11*C8</f>
        <v>23788.799999999996</v>
      </c>
      <c r="E11" s="3">
        <v>5.31</v>
      </c>
      <c r="F11" s="3">
        <f>E11/5</f>
        <v>1.0619999999999998</v>
      </c>
      <c r="G11" s="3">
        <f t="shared" ref="G11:G16" si="0">F11</f>
        <v>1.0619999999999998</v>
      </c>
    </row>
    <row r="12" spans="1:10" s="2" customFormat="1" ht="33" x14ac:dyDescent="0.25">
      <c r="A12" s="14" t="s">
        <v>16</v>
      </c>
      <c r="B12" s="14" t="s">
        <v>230</v>
      </c>
      <c r="C12" s="14" t="s">
        <v>7</v>
      </c>
      <c r="D12" s="10">
        <f>29.87*48.12</f>
        <v>1437.3444</v>
      </c>
      <c r="E12" s="3">
        <v>48.12</v>
      </c>
      <c r="F12" s="3">
        <f>D12/C8</f>
        <v>6.4167160714285715E-2</v>
      </c>
      <c r="G12" s="3">
        <f t="shared" si="0"/>
        <v>6.4167160714285715E-2</v>
      </c>
    </row>
    <row r="13" spans="1:10" s="2" customFormat="1" ht="33" x14ac:dyDescent="0.25">
      <c r="A13" s="14" t="s">
        <v>18</v>
      </c>
      <c r="B13" s="20" t="s">
        <v>234</v>
      </c>
      <c r="C13" s="14" t="s">
        <v>2</v>
      </c>
      <c r="D13" s="10">
        <f>E13*8</f>
        <v>3242.32</v>
      </c>
      <c r="E13" s="3">
        <v>405.29</v>
      </c>
      <c r="F13" s="3">
        <f>D13/C8</f>
        <v>0.14474642857142858</v>
      </c>
      <c r="G13" s="3">
        <v>0.22</v>
      </c>
      <c r="I13" s="19"/>
      <c r="J13" s="19"/>
    </row>
    <row r="14" spans="1:10" s="2" customFormat="1" ht="33" x14ac:dyDescent="0.25">
      <c r="A14" s="14" t="s">
        <v>19</v>
      </c>
      <c r="B14" s="14" t="s">
        <v>34</v>
      </c>
      <c r="C14" s="14" t="s">
        <v>2</v>
      </c>
      <c r="D14" s="10">
        <v>2235.4</v>
      </c>
      <c r="E14" s="3">
        <f>C6*0.1</f>
        <v>3500</v>
      </c>
      <c r="F14" s="3">
        <f>E14/C8</f>
        <v>0.15625</v>
      </c>
      <c r="G14" s="3">
        <f t="shared" si="0"/>
        <v>0.15625</v>
      </c>
    </row>
    <row r="15" spans="1:10" s="210" customFormat="1" x14ac:dyDescent="0.25">
      <c r="A15" s="207" t="s">
        <v>20</v>
      </c>
      <c r="B15" s="207" t="s">
        <v>22</v>
      </c>
      <c r="C15" s="207" t="s">
        <v>2</v>
      </c>
      <c r="D15" s="208">
        <f>'Custo Mão de Obra'!E193</f>
        <v>56554.474352827718</v>
      </c>
      <c r="E15" s="209">
        <f>D15</f>
        <v>56554.474352827718</v>
      </c>
      <c r="F15" s="209">
        <f>E15/C8</f>
        <v>2.5247533193226661</v>
      </c>
      <c r="G15" s="209">
        <f t="shared" si="0"/>
        <v>2.5247533193226661</v>
      </c>
    </row>
    <row r="16" spans="1:10" s="2" customFormat="1" x14ac:dyDescent="0.25">
      <c r="A16" s="14" t="s">
        <v>21</v>
      </c>
      <c r="B16" s="14" t="s">
        <v>23</v>
      </c>
      <c r="C16" s="14" t="s">
        <v>2</v>
      </c>
      <c r="D16" s="10">
        <v>1000</v>
      </c>
      <c r="E16" s="3">
        <v>1000</v>
      </c>
      <c r="F16" s="3">
        <f>E16/C8</f>
        <v>4.4642857142857144E-2</v>
      </c>
      <c r="G16" s="3">
        <f t="shared" si="0"/>
        <v>4.4642857142857144E-2</v>
      </c>
    </row>
    <row r="17" spans="1:9" s="2" customFormat="1" x14ac:dyDescent="0.25">
      <c r="A17" s="218" t="s">
        <v>24</v>
      </c>
      <c r="B17" s="218"/>
      <c r="C17" s="218"/>
      <c r="D17" s="11">
        <f>SUM(D11:D16)</f>
        <v>88258.338752827724</v>
      </c>
      <c r="E17" s="4">
        <f>SUM(E11:E16)</f>
        <v>61513.194352827719</v>
      </c>
      <c r="F17" s="4">
        <f>SUM(F11:F16)</f>
        <v>3.9965597657512375</v>
      </c>
      <c r="G17" s="4">
        <f>SUM(G11:G16)</f>
        <v>4.0718133371798082</v>
      </c>
    </row>
    <row r="18" spans="1:9" s="2" customFormat="1" x14ac:dyDescent="0.25">
      <c r="A18" s="14">
        <v>2</v>
      </c>
      <c r="B18" s="229" t="s">
        <v>8</v>
      </c>
      <c r="C18" s="229"/>
      <c r="D18" s="229"/>
      <c r="E18" s="229"/>
      <c r="F18" s="229"/>
      <c r="G18" s="229"/>
    </row>
    <row r="19" spans="1:9" s="2" customFormat="1" ht="33" x14ac:dyDescent="0.25">
      <c r="A19" s="14" t="s">
        <v>25</v>
      </c>
      <c r="B19" s="14" t="s">
        <v>231</v>
      </c>
      <c r="C19" s="14" t="s">
        <v>2</v>
      </c>
      <c r="D19" s="14">
        <v>0</v>
      </c>
      <c r="E19" s="3">
        <f>D19</f>
        <v>0</v>
      </c>
      <c r="F19" s="3">
        <f>E19/C8</f>
        <v>0</v>
      </c>
      <c r="G19" s="3">
        <f t="shared" ref="G19:G21" si="1">F19</f>
        <v>0</v>
      </c>
    </row>
    <row r="20" spans="1:9" s="2" customFormat="1" x14ac:dyDescent="0.25">
      <c r="A20" s="14" t="s">
        <v>28</v>
      </c>
      <c r="B20" s="14" t="s">
        <v>30</v>
      </c>
      <c r="C20" s="14" t="s">
        <v>2</v>
      </c>
      <c r="D20" s="211">
        <v>2546</v>
      </c>
      <c r="E20" s="3">
        <v>2546</v>
      </c>
      <c r="F20" s="3">
        <f>E20/C8</f>
        <v>0.11366071428571428</v>
      </c>
      <c r="G20" s="3">
        <f t="shared" si="1"/>
        <v>0.11366071428571428</v>
      </c>
    </row>
    <row r="21" spans="1:9" s="2" customFormat="1" ht="33" x14ac:dyDescent="0.25">
      <c r="A21" s="14" t="s">
        <v>27</v>
      </c>
      <c r="B21" s="14" t="s">
        <v>241</v>
      </c>
      <c r="C21" s="14" t="s">
        <v>2</v>
      </c>
      <c r="D21" s="211">
        <v>800</v>
      </c>
      <c r="E21" s="3">
        <v>800</v>
      </c>
      <c r="F21" s="3">
        <f>E21/C8</f>
        <v>3.5714285714285712E-2</v>
      </c>
      <c r="G21" s="3">
        <f t="shared" si="1"/>
        <v>3.5714285714285712E-2</v>
      </c>
    </row>
    <row r="22" spans="1:9" s="2" customFormat="1" x14ac:dyDescent="0.25">
      <c r="A22" s="26" t="s">
        <v>28</v>
      </c>
      <c r="B22" s="26" t="s">
        <v>232</v>
      </c>
      <c r="C22" s="26" t="s">
        <v>2</v>
      </c>
      <c r="D22" s="211">
        <f>C6*2%</f>
        <v>700</v>
      </c>
      <c r="E22" s="3">
        <f>D22</f>
        <v>700</v>
      </c>
      <c r="F22" s="3">
        <f>E22/C8</f>
        <v>3.125E-2</v>
      </c>
      <c r="G22" s="3">
        <f>F22</f>
        <v>3.125E-2</v>
      </c>
    </row>
    <row r="23" spans="1:9" s="2" customFormat="1" x14ac:dyDescent="0.25">
      <c r="A23" s="26" t="s">
        <v>29</v>
      </c>
      <c r="B23" s="26" t="s">
        <v>233</v>
      </c>
      <c r="C23" s="26" t="s">
        <v>2</v>
      </c>
      <c r="D23" s="211">
        <v>94.6</v>
      </c>
      <c r="E23" s="3">
        <f>D23</f>
        <v>94.6</v>
      </c>
      <c r="F23" s="18">
        <f>E23/C8</f>
        <v>4.2232142857142859E-3</v>
      </c>
      <c r="G23" s="3">
        <f>F23</f>
        <v>4.2232142857142859E-3</v>
      </c>
    </row>
    <row r="24" spans="1:9" s="2" customFormat="1" x14ac:dyDescent="0.25">
      <c r="A24" s="218" t="s">
        <v>31</v>
      </c>
      <c r="B24" s="218"/>
      <c r="C24" s="218"/>
      <c r="D24" s="212">
        <f>SUM(D19:D21)</f>
        <v>3346</v>
      </c>
      <c r="E24" s="4">
        <f>SUM(E19:E21)</f>
        <v>3346</v>
      </c>
      <c r="F24" s="4">
        <f>SUM(F19:F21)</f>
        <v>0.14937499999999998</v>
      </c>
      <c r="G24" s="4">
        <f>SUM(G19:G21)</f>
        <v>0.14937499999999998</v>
      </c>
    </row>
    <row r="25" spans="1:9" s="2" customFormat="1" x14ac:dyDescent="0.25">
      <c r="A25" s="218" t="s">
        <v>33</v>
      </c>
      <c r="B25" s="218"/>
      <c r="C25" s="218"/>
      <c r="D25" s="11">
        <f>SUM(D17+D24)</f>
        <v>91604.338752827724</v>
      </c>
      <c r="E25" s="4">
        <f>E17+E24</f>
        <v>64859.194352827719</v>
      </c>
      <c r="F25" s="4">
        <f>F17+F24</f>
        <v>4.1459347657512371</v>
      </c>
      <c r="G25" s="4">
        <f>G17+G24</f>
        <v>4.2211883371798082</v>
      </c>
      <c r="I25" s="15"/>
    </row>
    <row r="26" spans="1:9" s="2" customFormat="1" x14ac:dyDescent="0.25">
      <c r="A26" s="13">
        <v>3</v>
      </c>
      <c r="B26" s="219" t="s">
        <v>43</v>
      </c>
      <c r="C26" s="219"/>
      <c r="D26" s="13"/>
      <c r="E26" s="5">
        <f>D25*9%</f>
        <v>8244.3904877544956</v>
      </c>
      <c r="F26" s="5">
        <f>E26/C8</f>
        <v>0.36805314677475426</v>
      </c>
      <c r="G26" s="5">
        <f>F26</f>
        <v>0.36805314677475426</v>
      </c>
    </row>
    <row r="27" spans="1:9" s="2" customFormat="1" x14ac:dyDescent="0.25">
      <c r="A27" s="218" t="s">
        <v>32</v>
      </c>
      <c r="B27" s="218"/>
      <c r="C27" s="218"/>
      <c r="D27" s="12"/>
      <c r="E27" s="4">
        <f>E26+E25</f>
        <v>73103.584840582218</v>
      </c>
      <c r="F27" s="16">
        <f>F25+F26</f>
        <v>4.513987912525991</v>
      </c>
      <c r="G27" s="4">
        <f>F27</f>
        <v>4.513987912525991</v>
      </c>
    </row>
    <row r="28" spans="1:9" s="2" customFormat="1" x14ac:dyDescent="0.25">
      <c r="A28" s="6"/>
      <c r="B28" s="6"/>
      <c r="C28" s="6"/>
      <c r="D28" s="6"/>
      <c r="E28" s="7"/>
      <c r="F28" s="23"/>
      <c r="G28" s="7"/>
    </row>
    <row r="29" spans="1:9" s="2" customFormat="1" x14ac:dyDescent="0.25">
      <c r="A29" s="6"/>
      <c r="B29" s="6"/>
      <c r="C29" s="6"/>
      <c r="D29" s="6"/>
      <c r="E29" s="7"/>
      <c r="F29" s="23"/>
      <c r="G29" s="7"/>
    </row>
    <row r="30" spans="1:9" s="2" customFormat="1" x14ac:dyDescent="0.25">
      <c r="A30" s="6"/>
      <c r="B30" s="6"/>
      <c r="C30" s="6"/>
      <c r="D30" s="6"/>
      <c r="E30" s="7"/>
      <c r="F30" s="23"/>
      <c r="G30" s="7"/>
    </row>
    <row r="31" spans="1:9" s="2" customFormat="1" ht="18.75" x14ac:dyDescent="0.3">
      <c r="B31" s="6"/>
      <c r="C31" s="213" t="s">
        <v>240</v>
      </c>
      <c r="D31" s="21"/>
      <c r="E31" s="22"/>
      <c r="F31" s="21"/>
      <c r="G31" s="22"/>
    </row>
    <row r="32" spans="1:9" x14ac:dyDescent="0.3">
      <c r="F32" s="21"/>
      <c r="G32" s="21"/>
    </row>
    <row r="33" spans="5:14" ht="18.75" x14ac:dyDescent="0.3">
      <c r="E33" s="22"/>
      <c r="F33" s="22"/>
      <c r="N33" s="24"/>
    </row>
    <row r="34" spans="5:14" x14ac:dyDescent="0.3">
      <c r="E34" s="21"/>
      <c r="F34" s="21"/>
      <c r="J34" s="17"/>
      <c r="N34" s="25"/>
    </row>
  </sheetData>
  <mergeCells count="22">
    <mergeCell ref="A25:C25"/>
    <mergeCell ref="B26:C26"/>
    <mergeCell ref="A27:C27"/>
    <mergeCell ref="A24:C24"/>
    <mergeCell ref="A5:B5"/>
    <mergeCell ref="C5:G5"/>
    <mergeCell ref="A6:B6"/>
    <mergeCell ref="C6:G6"/>
    <mergeCell ref="A7:B7"/>
    <mergeCell ref="C7:G7"/>
    <mergeCell ref="A8:B8"/>
    <mergeCell ref="E8:G8"/>
    <mergeCell ref="B10:G10"/>
    <mergeCell ref="A17:C17"/>
    <mergeCell ref="B18:G18"/>
    <mergeCell ref="A4:B4"/>
    <mergeCell ref="C4:G4"/>
    <mergeCell ref="A1:G1"/>
    <mergeCell ref="A2:B2"/>
    <mergeCell ref="C2:G2"/>
    <mergeCell ref="A3:B3"/>
    <mergeCell ref="C3:G3"/>
  </mergeCells>
  <pageMargins left="0.25" right="0.25" top="0.75" bottom="0.75" header="0.3" footer="0.3"/>
  <pageSetup paperSize="9"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3"/>
  <sheetViews>
    <sheetView topLeftCell="A121" workbookViewId="0">
      <selection activeCell="E207" sqref="E207"/>
    </sheetView>
  </sheetViews>
  <sheetFormatPr defaultColWidth="9.140625" defaultRowHeight="12" x14ac:dyDescent="0.2"/>
  <cols>
    <col min="1" max="1" width="9.140625" style="116"/>
    <col min="2" max="2" width="22.140625" style="116" customWidth="1"/>
    <col min="3" max="3" width="10.85546875" style="116" customWidth="1"/>
    <col min="4" max="4" width="12.5703125" style="116" customWidth="1"/>
    <col min="5" max="5" width="12.42578125" style="116" customWidth="1"/>
    <col min="6" max="6" width="10.42578125" style="116" customWidth="1"/>
    <col min="7" max="7" width="12.28515625" style="116" customWidth="1"/>
    <col min="8" max="8" width="8.28515625" style="116" customWidth="1"/>
    <col min="9" max="16384" width="9.140625" style="116"/>
  </cols>
  <sheetData>
    <row r="1" spans="1:6" s="27" customFormat="1" x14ac:dyDescent="0.25">
      <c r="A1" s="230" t="s">
        <v>45</v>
      </c>
      <c r="B1" s="231"/>
      <c r="C1" s="231"/>
      <c r="D1" s="231"/>
      <c r="E1" s="231"/>
      <c r="F1" s="231"/>
    </row>
    <row r="2" spans="1:6" s="28" customFormat="1" x14ac:dyDescent="0.25">
      <c r="A2" s="232" t="s">
        <v>46</v>
      </c>
      <c r="B2" s="233"/>
      <c r="C2" s="233"/>
      <c r="D2" s="234"/>
    </row>
    <row r="3" spans="1:6" s="28" customFormat="1" x14ac:dyDescent="0.25">
      <c r="A3" s="235" t="s">
        <v>47</v>
      </c>
      <c r="B3" s="235"/>
      <c r="C3" s="235"/>
      <c r="D3" s="29"/>
    </row>
    <row r="4" spans="1:6" s="28" customFormat="1" x14ac:dyDescent="0.25">
      <c r="A4" s="235" t="s">
        <v>48</v>
      </c>
      <c r="B4" s="235"/>
      <c r="C4" s="235"/>
      <c r="D4" s="29"/>
    </row>
    <row r="5" spans="1:6" s="28" customFormat="1" x14ac:dyDescent="0.25">
      <c r="D5" s="30"/>
    </row>
    <row r="6" spans="1:6" s="28" customFormat="1" x14ac:dyDescent="0.25">
      <c r="A6" s="236" t="s">
        <v>49</v>
      </c>
      <c r="B6" s="237"/>
      <c r="C6" s="237"/>
      <c r="D6" s="238"/>
    </row>
    <row r="7" spans="1:6" s="28" customFormat="1" x14ac:dyDescent="0.25">
      <c r="A7" s="31" t="s">
        <v>50</v>
      </c>
      <c r="B7" s="239" t="s">
        <v>51</v>
      </c>
      <c r="C7" s="240"/>
      <c r="D7" s="29"/>
    </row>
    <row r="8" spans="1:6" s="28" customFormat="1" ht="24" x14ac:dyDescent="0.25">
      <c r="A8" s="31" t="s">
        <v>52</v>
      </c>
      <c r="B8" s="239" t="s">
        <v>53</v>
      </c>
      <c r="C8" s="240"/>
      <c r="D8" s="31" t="s">
        <v>54</v>
      </c>
    </row>
    <row r="9" spans="1:6" s="28" customFormat="1" x14ac:dyDescent="0.25">
      <c r="A9" s="31" t="s">
        <v>55</v>
      </c>
      <c r="B9" s="239" t="s">
        <v>56</v>
      </c>
      <c r="C9" s="240"/>
      <c r="D9" s="31">
        <v>2021</v>
      </c>
    </row>
    <row r="10" spans="1:6" s="28" customFormat="1" x14ac:dyDescent="0.25">
      <c r="A10" s="31" t="s">
        <v>57</v>
      </c>
      <c r="B10" s="239" t="s">
        <v>58</v>
      </c>
      <c r="C10" s="240"/>
      <c r="D10" s="31">
        <v>12</v>
      </c>
    </row>
    <row r="11" spans="1:6" s="27" customFormat="1" x14ac:dyDescent="0.25">
      <c r="A11" s="31"/>
      <c r="B11" s="244"/>
      <c r="C11" s="245"/>
      <c r="D11" s="29"/>
      <c r="E11" s="28"/>
    </row>
    <row r="12" spans="1:6" s="27" customFormat="1" x14ac:dyDescent="0.25">
      <c r="A12" s="246" t="s">
        <v>59</v>
      </c>
      <c r="B12" s="247"/>
      <c r="C12" s="247"/>
      <c r="D12" s="248"/>
      <c r="E12" s="28"/>
    </row>
    <row r="13" spans="1:6" s="27" customFormat="1" ht="48" x14ac:dyDescent="0.25">
      <c r="A13" s="249" t="s">
        <v>60</v>
      </c>
      <c r="B13" s="250"/>
      <c r="C13" s="32" t="s">
        <v>61</v>
      </c>
      <c r="D13" s="33" t="s">
        <v>62</v>
      </c>
      <c r="E13" s="28"/>
    </row>
    <row r="14" spans="1:6" s="27" customFormat="1" x14ac:dyDescent="0.25">
      <c r="A14" s="239" t="s">
        <v>63</v>
      </c>
      <c r="B14" s="240"/>
      <c r="C14" s="31">
        <v>1</v>
      </c>
      <c r="D14" s="29" t="s">
        <v>64</v>
      </c>
      <c r="E14" s="28"/>
    </row>
    <row r="15" spans="1:6" s="27" customFormat="1" x14ac:dyDescent="0.25">
      <c r="A15" s="239"/>
      <c r="B15" s="240"/>
      <c r="C15" s="31"/>
      <c r="D15" s="34"/>
    </row>
    <row r="16" spans="1:6" s="27" customFormat="1" x14ac:dyDescent="0.25">
      <c r="A16" s="241" t="s">
        <v>65</v>
      </c>
      <c r="B16" s="241"/>
      <c r="C16" s="241"/>
      <c r="D16" s="241"/>
      <c r="E16" s="241"/>
      <c r="F16" s="241"/>
    </row>
    <row r="17" spans="1:6" s="27" customFormat="1" ht="36" x14ac:dyDescent="0.25">
      <c r="A17" s="35" t="s">
        <v>17</v>
      </c>
      <c r="B17" s="35" t="s">
        <v>66</v>
      </c>
      <c r="C17" s="35" t="s">
        <v>67</v>
      </c>
      <c r="D17" s="35" t="s">
        <v>68</v>
      </c>
      <c r="E17" s="35" t="s">
        <v>69</v>
      </c>
      <c r="F17" s="36" t="s">
        <v>70</v>
      </c>
    </row>
    <row r="18" spans="1:6" s="27" customFormat="1" ht="36" x14ac:dyDescent="0.25">
      <c r="A18" s="31" t="s">
        <v>50</v>
      </c>
      <c r="B18" s="37" t="s">
        <v>63</v>
      </c>
      <c r="C18" s="38" t="s">
        <v>71</v>
      </c>
      <c r="D18" s="39">
        <f>1830/E18</f>
        <v>8.3181818181818183</v>
      </c>
      <c r="E18" s="40">
        <v>220</v>
      </c>
      <c r="F18" s="41">
        <f>D18*E18</f>
        <v>1830</v>
      </c>
    </row>
    <row r="19" spans="1:6" s="27" customFormat="1" x14ac:dyDescent="0.25">
      <c r="A19" s="31" t="s">
        <v>52</v>
      </c>
      <c r="B19" s="37"/>
      <c r="C19" s="42"/>
      <c r="D19" s="39"/>
      <c r="E19" s="40"/>
      <c r="F19" s="41"/>
    </row>
    <row r="20" spans="1:6" s="27" customFormat="1" ht="36" x14ac:dyDescent="0.25">
      <c r="A20" s="35" t="s">
        <v>16</v>
      </c>
      <c r="B20" s="35" t="s">
        <v>72</v>
      </c>
      <c r="C20" s="236" t="s">
        <v>73</v>
      </c>
      <c r="D20" s="238"/>
      <c r="E20" s="236" t="s">
        <v>74</v>
      </c>
      <c r="F20" s="238"/>
    </row>
    <row r="21" spans="1:6" s="27" customFormat="1" x14ac:dyDescent="0.25">
      <c r="A21" s="31" t="s">
        <v>50</v>
      </c>
      <c r="B21" s="43"/>
      <c r="C21" s="242"/>
      <c r="D21" s="242"/>
      <c r="E21" s="243"/>
      <c r="F21" s="243"/>
    </row>
    <row r="22" spans="1:6" s="27" customFormat="1" x14ac:dyDescent="0.25">
      <c r="A22" s="31"/>
      <c r="B22" s="37"/>
      <c r="C22" s="242"/>
      <c r="D22" s="242"/>
      <c r="E22" s="243"/>
      <c r="F22" s="243"/>
    </row>
    <row r="23" spans="1:6" s="27" customFormat="1" x14ac:dyDescent="0.25">
      <c r="A23" s="251" t="s">
        <v>75</v>
      </c>
      <c r="B23" s="251"/>
      <c r="C23" s="251"/>
      <c r="D23" s="251"/>
      <c r="E23" s="251"/>
      <c r="F23" s="251"/>
    </row>
    <row r="24" spans="1:6" s="27" customFormat="1" x14ac:dyDescent="0.25">
      <c r="A24" s="44"/>
      <c r="B24" s="44"/>
      <c r="C24" s="44"/>
    </row>
    <row r="25" spans="1:6" s="27" customFormat="1" x14ac:dyDescent="0.25">
      <c r="A25" s="252" t="s">
        <v>76</v>
      </c>
      <c r="B25" s="253"/>
      <c r="C25" s="253"/>
      <c r="D25" s="254"/>
      <c r="E25" s="45"/>
    </row>
    <row r="26" spans="1:6" s="27" customFormat="1" x14ac:dyDescent="0.25">
      <c r="A26" s="255" t="s">
        <v>17</v>
      </c>
      <c r="B26" s="256" t="s">
        <v>77</v>
      </c>
      <c r="C26" s="258" t="s">
        <v>78</v>
      </c>
      <c r="D26" s="260" t="s">
        <v>79</v>
      </c>
      <c r="E26" s="262"/>
    </row>
    <row r="27" spans="1:6" s="27" customFormat="1" x14ac:dyDescent="0.25">
      <c r="A27" s="256"/>
      <c r="B27" s="257"/>
      <c r="C27" s="259"/>
      <c r="D27" s="261"/>
      <c r="E27" s="262"/>
    </row>
    <row r="28" spans="1:6" s="27" customFormat="1" x14ac:dyDescent="0.25">
      <c r="A28" s="31" t="s">
        <v>50</v>
      </c>
      <c r="B28" s="43" t="s">
        <v>63</v>
      </c>
      <c r="C28" s="46">
        <f>D28*12</f>
        <v>21960</v>
      </c>
      <c r="D28" s="47">
        <f>(F18+E21)</f>
        <v>1830</v>
      </c>
      <c r="E28" s="48"/>
    </row>
    <row r="29" spans="1:6" s="27" customFormat="1" x14ac:dyDescent="0.25">
      <c r="A29" s="31"/>
      <c r="B29" s="37"/>
      <c r="C29" s="49"/>
      <c r="D29" s="47"/>
      <c r="E29" s="50"/>
    </row>
    <row r="30" spans="1:6" s="27" customFormat="1" x14ac:dyDescent="0.25"/>
    <row r="31" spans="1:6" s="27" customFormat="1" x14ac:dyDescent="0.25"/>
    <row r="32" spans="1:6" s="27" customFormat="1" x14ac:dyDescent="0.25">
      <c r="A32" s="266" t="s">
        <v>80</v>
      </c>
      <c r="B32" s="266"/>
      <c r="C32" s="266"/>
      <c r="D32" s="266"/>
      <c r="E32" s="266"/>
    </row>
    <row r="33" spans="1:7" s="27" customFormat="1" x14ac:dyDescent="0.25">
      <c r="A33" s="267" t="s">
        <v>81</v>
      </c>
      <c r="B33" s="267"/>
      <c r="C33" s="267"/>
      <c r="D33" s="267"/>
      <c r="E33" s="267"/>
    </row>
    <row r="34" spans="1:7" s="27" customFormat="1" x14ac:dyDescent="0.25">
      <c r="A34" s="264" t="s">
        <v>25</v>
      </c>
      <c r="B34" s="264" t="s">
        <v>82</v>
      </c>
      <c r="C34" s="268" t="s">
        <v>83</v>
      </c>
      <c r="D34" s="264" t="s">
        <v>84</v>
      </c>
      <c r="E34" s="264" t="s">
        <v>85</v>
      </c>
    </row>
    <row r="35" spans="1:7" s="27" customFormat="1" x14ac:dyDescent="0.25">
      <c r="A35" s="265"/>
      <c r="B35" s="265"/>
      <c r="C35" s="269"/>
      <c r="D35" s="265"/>
      <c r="E35" s="265"/>
    </row>
    <row r="36" spans="1:7" s="27" customFormat="1" x14ac:dyDescent="0.25">
      <c r="A36" s="31" t="s">
        <v>50</v>
      </c>
      <c r="B36" s="43" t="s">
        <v>86</v>
      </c>
      <c r="C36" s="51">
        <v>8.3299999999999999E-2</v>
      </c>
      <c r="D36" s="52">
        <f>$D$28*C36</f>
        <v>152.43899999999999</v>
      </c>
      <c r="E36" s="52">
        <f>$D$29*C36</f>
        <v>0</v>
      </c>
    </row>
    <row r="37" spans="1:7" s="27" customFormat="1" x14ac:dyDescent="0.25">
      <c r="A37" s="31" t="s">
        <v>52</v>
      </c>
      <c r="B37" s="43" t="s">
        <v>87</v>
      </c>
      <c r="C37" s="51">
        <v>2.7799999999999998E-2</v>
      </c>
      <c r="D37" s="52">
        <f t="shared" ref="D37:D38" si="0">$D$28*C37</f>
        <v>50.873999999999995</v>
      </c>
      <c r="E37" s="52">
        <f t="shared" ref="E37:E38" si="1">$D$29*C37</f>
        <v>0</v>
      </c>
      <c r="G37" s="53"/>
    </row>
    <row r="38" spans="1:7" s="27" customFormat="1" x14ac:dyDescent="0.25">
      <c r="A38" s="31" t="s">
        <v>55</v>
      </c>
      <c r="B38" s="43" t="s">
        <v>88</v>
      </c>
      <c r="C38" s="51">
        <v>8.3299999999999999E-2</v>
      </c>
      <c r="D38" s="52">
        <f t="shared" si="0"/>
        <v>152.43899999999999</v>
      </c>
      <c r="E38" s="52">
        <f t="shared" si="1"/>
        <v>0</v>
      </c>
    </row>
    <row r="39" spans="1:7" s="27" customFormat="1" x14ac:dyDescent="0.25">
      <c r="A39" s="263" t="s">
        <v>89</v>
      </c>
      <c r="B39" s="263"/>
      <c r="C39" s="54"/>
      <c r="D39" s="54">
        <f>SUM(D36:D38)</f>
        <v>355.75199999999995</v>
      </c>
      <c r="E39" s="54">
        <f>SUM(E36:E38)</f>
        <v>0</v>
      </c>
    </row>
    <row r="40" spans="1:7" s="27" customFormat="1" x14ac:dyDescent="0.25">
      <c r="A40" s="55"/>
      <c r="B40" s="56"/>
      <c r="C40" s="57"/>
      <c r="D40" s="58"/>
      <c r="E40" s="58"/>
    </row>
    <row r="41" spans="1:7" s="27" customFormat="1" x14ac:dyDescent="0.25">
      <c r="A41" s="246" t="s">
        <v>90</v>
      </c>
      <c r="B41" s="247"/>
      <c r="C41" s="247"/>
      <c r="D41" s="247"/>
      <c r="E41" s="248"/>
    </row>
    <row r="42" spans="1:7" s="27" customFormat="1" x14ac:dyDescent="0.25">
      <c r="A42" s="264" t="s">
        <v>26</v>
      </c>
      <c r="B42" s="264" t="s">
        <v>91</v>
      </c>
      <c r="C42" s="264" t="s">
        <v>83</v>
      </c>
      <c r="D42" s="264" t="s">
        <v>92</v>
      </c>
      <c r="E42" s="264" t="s">
        <v>93</v>
      </c>
    </row>
    <row r="43" spans="1:7" s="27" customFormat="1" x14ac:dyDescent="0.25">
      <c r="A43" s="265"/>
      <c r="B43" s="265"/>
      <c r="C43" s="265"/>
      <c r="D43" s="265"/>
      <c r="E43" s="265"/>
    </row>
    <row r="44" spans="1:7" s="27" customFormat="1" x14ac:dyDescent="0.25">
      <c r="A44" s="31" t="s">
        <v>50</v>
      </c>
      <c r="B44" s="43" t="s">
        <v>94</v>
      </c>
      <c r="C44" s="51">
        <v>0.2</v>
      </c>
      <c r="D44" s="59">
        <f>($D$28*C44)</f>
        <v>366</v>
      </c>
      <c r="E44" s="60">
        <f>($D$29*C44)</f>
        <v>0</v>
      </c>
      <c r="G44" s="61"/>
    </row>
    <row r="45" spans="1:7" s="27" customFormat="1" x14ac:dyDescent="0.25">
      <c r="A45" s="31" t="s">
        <v>52</v>
      </c>
      <c r="B45" s="43" t="s">
        <v>95</v>
      </c>
      <c r="C45" s="51">
        <v>2.5000000000000001E-2</v>
      </c>
      <c r="D45" s="59">
        <f t="shared" ref="D45:D51" si="2">($D$28*C45)</f>
        <v>45.75</v>
      </c>
      <c r="E45" s="60">
        <f t="shared" ref="E45:E51" si="3">($D$29*C45)</f>
        <v>0</v>
      </c>
      <c r="G45" s="61"/>
    </row>
    <row r="46" spans="1:7" s="27" customFormat="1" x14ac:dyDescent="0.25">
      <c r="A46" s="31" t="s">
        <v>55</v>
      </c>
      <c r="B46" s="43" t="s">
        <v>96</v>
      </c>
      <c r="C46" s="62">
        <v>0.03</v>
      </c>
      <c r="D46" s="59">
        <f t="shared" si="2"/>
        <v>54.9</v>
      </c>
      <c r="E46" s="60">
        <f t="shared" si="3"/>
        <v>0</v>
      </c>
      <c r="G46" s="61"/>
    </row>
    <row r="47" spans="1:7" s="27" customFormat="1" x14ac:dyDescent="0.25">
      <c r="A47" s="31" t="s">
        <v>97</v>
      </c>
      <c r="B47" s="43" t="s">
        <v>98</v>
      </c>
      <c r="C47" s="51">
        <v>1.4999999999999999E-2</v>
      </c>
      <c r="D47" s="59">
        <f t="shared" si="2"/>
        <v>27.45</v>
      </c>
      <c r="E47" s="60">
        <f t="shared" si="3"/>
        <v>0</v>
      </c>
      <c r="G47" s="61"/>
    </row>
    <row r="48" spans="1:7" s="27" customFormat="1" x14ac:dyDescent="0.25">
      <c r="A48" s="31" t="s">
        <v>99</v>
      </c>
      <c r="B48" s="43" t="s">
        <v>100</v>
      </c>
      <c r="C48" s="51">
        <v>0.01</v>
      </c>
      <c r="D48" s="59">
        <f t="shared" si="2"/>
        <v>18.3</v>
      </c>
      <c r="E48" s="60">
        <f t="shared" si="3"/>
        <v>0</v>
      </c>
      <c r="G48" s="61"/>
    </row>
    <row r="49" spans="1:7" s="27" customFormat="1" x14ac:dyDescent="0.25">
      <c r="A49" s="31" t="s">
        <v>101</v>
      </c>
      <c r="B49" s="43" t="s">
        <v>102</v>
      </c>
      <c r="C49" s="51">
        <v>6.0000000000000001E-3</v>
      </c>
      <c r="D49" s="59">
        <f t="shared" si="2"/>
        <v>10.98</v>
      </c>
      <c r="E49" s="60">
        <f t="shared" si="3"/>
        <v>0</v>
      </c>
      <c r="G49" s="61"/>
    </row>
    <row r="50" spans="1:7" s="27" customFormat="1" x14ac:dyDescent="0.25">
      <c r="A50" s="31" t="s">
        <v>103</v>
      </c>
      <c r="B50" s="43" t="s">
        <v>104</v>
      </c>
      <c r="C50" s="51">
        <v>2E-3</v>
      </c>
      <c r="D50" s="59">
        <f t="shared" si="2"/>
        <v>3.66</v>
      </c>
      <c r="E50" s="60">
        <f t="shared" si="3"/>
        <v>0</v>
      </c>
      <c r="G50" s="61"/>
    </row>
    <row r="51" spans="1:7" s="27" customFormat="1" x14ac:dyDescent="0.25">
      <c r="A51" s="31" t="s">
        <v>105</v>
      </c>
      <c r="B51" s="43" t="s">
        <v>38</v>
      </c>
      <c r="C51" s="51">
        <v>0.08</v>
      </c>
      <c r="D51" s="59">
        <f t="shared" si="2"/>
        <v>146.4</v>
      </c>
      <c r="E51" s="60">
        <f t="shared" si="3"/>
        <v>0</v>
      </c>
      <c r="G51" s="61"/>
    </row>
    <row r="52" spans="1:7" s="27" customFormat="1" x14ac:dyDescent="0.25">
      <c r="A52" s="263" t="s">
        <v>106</v>
      </c>
      <c r="B52" s="263"/>
      <c r="C52" s="271">
        <f>SUM(D44:D51)</f>
        <v>673.43999999999994</v>
      </c>
      <c r="D52" s="272"/>
      <c r="E52" s="54">
        <f>SUM(E44:E51)</f>
        <v>0</v>
      </c>
      <c r="G52" s="61"/>
    </row>
    <row r="53" spans="1:7" s="27" customFormat="1" x14ac:dyDescent="0.25">
      <c r="A53" s="55"/>
      <c r="B53" s="56"/>
      <c r="C53" s="63"/>
      <c r="D53" s="64"/>
      <c r="E53" s="65"/>
    </row>
    <row r="54" spans="1:7" s="27" customFormat="1" x14ac:dyDescent="0.25">
      <c r="A54" s="266" t="s">
        <v>107</v>
      </c>
      <c r="B54" s="266"/>
      <c r="C54" s="266"/>
      <c r="D54" s="266"/>
      <c r="E54" s="266"/>
    </row>
    <row r="55" spans="1:7" s="27" customFormat="1" x14ac:dyDescent="0.25">
      <c r="A55" s="274" t="s">
        <v>27</v>
      </c>
      <c r="B55" s="274" t="s">
        <v>108</v>
      </c>
      <c r="C55" s="274" t="s">
        <v>83</v>
      </c>
      <c r="D55" s="274" t="s">
        <v>92</v>
      </c>
      <c r="E55" s="264" t="s">
        <v>85</v>
      </c>
      <c r="G55" s="270"/>
    </row>
    <row r="56" spans="1:7" s="27" customFormat="1" x14ac:dyDescent="0.25">
      <c r="A56" s="273"/>
      <c r="B56" s="273"/>
      <c r="C56" s="273"/>
      <c r="D56" s="273"/>
      <c r="E56" s="265"/>
      <c r="G56" s="270"/>
    </row>
    <row r="57" spans="1:7" s="27" customFormat="1" x14ac:dyDescent="0.25">
      <c r="A57" s="31" t="s">
        <v>50</v>
      </c>
      <c r="B57" s="66" t="s">
        <v>39</v>
      </c>
      <c r="C57" s="67" t="s">
        <v>109</v>
      </c>
      <c r="D57" s="68">
        <v>0</v>
      </c>
      <c r="E57" s="69">
        <v>0</v>
      </c>
      <c r="G57" s="70"/>
    </row>
    <row r="58" spans="1:7" s="27" customFormat="1" x14ac:dyDescent="0.25">
      <c r="A58" s="31" t="s">
        <v>52</v>
      </c>
      <c r="B58" s="66" t="s">
        <v>110</v>
      </c>
      <c r="C58" s="40"/>
      <c r="D58" s="60">
        <v>620</v>
      </c>
      <c r="E58" s="69">
        <v>0</v>
      </c>
    </row>
    <row r="59" spans="1:7" s="76" customFormat="1" x14ac:dyDescent="0.25">
      <c r="A59" s="71"/>
      <c r="B59" s="72"/>
      <c r="C59" s="73"/>
      <c r="D59" s="74"/>
      <c r="E59" s="75"/>
    </row>
    <row r="60" spans="1:7" s="76" customFormat="1" x14ac:dyDescent="0.25">
      <c r="A60" s="71"/>
      <c r="B60" s="72"/>
      <c r="C60" s="73"/>
      <c r="D60" s="74"/>
      <c r="E60" s="75"/>
    </row>
    <row r="61" spans="1:7" s="76" customFormat="1" x14ac:dyDescent="0.25">
      <c r="A61" s="71"/>
      <c r="B61" s="72"/>
      <c r="C61" s="73"/>
      <c r="D61" s="74"/>
      <c r="E61" s="75"/>
    </row>
    <row r="62" spans="1:7" s="27" customFormat="1" x14ac:dyDescent="0.25">
      <c r="A62" s="263" t="s">
        <v>111</v>
      </c>
      <c r="B62" s="263"/>
      <c r="C62" s="271">
        <f>SUM(D57:D61)</f>
        <v>620</v>
      </c>
      <c r="D62" s="272"/>
      <c r="E62" s="77">
        <f>SUM(E57:E61)</f>
        <v>0</v>
      </c>
      <c r="F62" s="61"/>
    </row>
    <row r="63" spans="1:7" s="27" customFormat="1" x14ac:dyDescent="0.25">
      <c r="A63" s="55"/>
      <c r="B63" s="56"/>
      <c r="C63" s="78"/>
      <c r="D63" s="79"/>
      <c r="E63" s="65"/>
    </row>
    <row r="64" spans="1:7" s="27" customFormat="1" x14ac:dyDescent="0.25">
      <c r="A64" s="273" t="s">
        <v>112</v>
      </c>
      <c r="B64" s="273"/>
      <c r="C64" s="273"/>
      <c r="D64" s="273"/>
      <c r="E64" s="45"/>
    </row>
    <row r="65" spans="1:8" s="27" customFormat="1" ht="10.5" customHeight="1" x14ac:dyDescent="0.25">
      <c r="A65" s="273">
        <v>2</v>
      </c>
      <c r="B65" s="273" t="s">
        <v>113</v>
      </c>
      <c r="C65" s="273" t="s">
        <v>114</v>
      </c>
      <c r="D65" s="265" t="s">
        <v>85</v>
      </c>
    </row>
    <row r="66" spans="1:8" s="27" customFormat="1" ht="21" customHeight="1" x14ac:dyDescent="0.25">
      <c r="A66" s="273"/>
      <c r="B66" s="273"/>
      <c r="C66" s="273"/>
      <c r="D66" s="265"/>
    </row>
    <row r="67" spans="1:8" s="27" customFormat="1" ht="10.5" customHeight="1" x14ac:dyDescent="0.25">
      <c r="A67" s="31" t="s">
        <v>25</v>
      </c>
      <c r="B67" s="66" t="s">
        <v>82</v>
      </c>
      <c r="C67" s="80">
        <f>D39</f>
        <v>355.75199999999995</v>
      </c>
      <c r="D67" s="69">
        <f>E39</f>
        <v>0</v>
      </c>
    </row>
    <row r="68" spans="1:8" s="27" customFormat="1" ht="10.5" customHeight="1" x14ac:dyDescent="0.25">
      <c r="A68" s="31" t="s">
        <v>26</v>
      </c>
      <c r="B68" s="66" t="s">
        <v>91</v>
      </c>
      <c r="C68" s="60">
        <f>C52</f>
        <v>673.43999999999994</v>
      </c>
      <c r="D68" s="69">
        <f>E52</f>
        <v>0</v>
      </c>
    </row>
    <row r="69" spans="1:8" s="27" customFormat="1" ht="10.5" customHeight="1" x14ac:dyDescent="0.25">
      <c r="A69" s="31" t="s">
        <v>27</v>
      </c>
      <c r="B69" s="66" t="s">
        <v>108</v>
      </c>
      <c r="C69" s="81">
        <f>C62</f>
        <v>620</v>
      </c>
      <c r="D69" s="60">
        <f>E62</f>
        <v>0</v>
      </c>
    </row>
    <row r="70" spans="1:8" s="27" customFormat="1" ht="10.5" customHeight="1" x14ac:dyDescent="0.25">
      <c r="A70" s="31">
        <v>2.4</v>
      </c>
      <c r="B70" s="66" t="s">
        <v>115</v>
      </c>
      <c r="C70" s="81">
        <f>(D51*40%)</f>
        <v>58.56</v>
      </c>
      <c r="D70" s="81">
        <f>(E51*40%)</f>
        <v>0</v>
      </c>
    </row>
    <row r="71" spans="1:8" s="27" customFormat="1" x14ac:dyDescent="0.25">
      <c r="A71" s="263" t="s">
        <v>36</v>
      </c>
      <c r="B71" s="263"/>
      <c r="C71" s="82">
        <f>SUM(C67:C70)</f>
        <v>1707.752</v>
      </c>
      <c r="D71" s="77">
        <f>SUM(D67:D70)</f>
        <v>0</v>
      </c>
    </row>
    <row r="72" spans="1:8" s="27" customFormat="1" ht="10.5" customHeight="1" x14ac:dyDescent="0.25"/>
    <row r="73" spans="1:8" s="84" customFormat="1" ht="13.5" customHeight="1" x14ac:dyDescent="0.25">
      <c r="A73" s="283" t="s">
        <v>116</v>
      </c>
      <c r="B73" s="284"/>
      <c r="C73" s="284"/>
      <c r="D73" s="284"/>
      <c r="E73" s="284"/>
      <c r="F73" s="285"/>
      <c r="G73" s="83"/>
      <c r="H73" s="83"/>
    </row>
    <row r="74" spans="1:8" s="27" customFormat="1" ht="49.5" customHeight="1" x14ac:dyDescent="0.25">
      <c r="A74" s="279" t="s">
        <v>117</v>
      </c>
      <c r="B74" s="279"/>
      <c r="C74" s="279"/>
      <c r="D74" s="279"/>
      <c r="E74" s="279"/>
      <c r="F74" s="279"/>
      <c r="G74" s="85"/>
      <c r="H74" s="85"/>
    </row>
    <row r="75" spans="1:8" s="27" customFormat="1" ht="34.5" customHeight="1" x14ac:dyDescent="0.25">
      <c r="A75" s="279" t="s">
        <v>118</v>
      </c>
      <c r="B75" s="279"/>
      <c r="C75" s="279"/>
      <c r="D75" s="279"/>
      <c r="E75" s="279"/>
      <c r="F75" s="279"/>
      <c r="G75" s="85"/>
      <c r="H75" s="85"/>
    </row>
    <row r="76" spans="1:8" s="27" customFormat="1" ht="10.5" customHeight="1" x14ac:dyDescent="0.25">
      <c r="A76" s="86"/>
      <c r="B76" s="86"/>
      <c r="C76" s="86"/>
      <c r="D76" s="86"/>
      <c r="E76" s="86"/>
      <c r="F76" s="86"/>
      <c r="G76" s="86"/>
      <c r="H76" s="86"/>
    </row>
    <row r="77" spans="1:8" s="27" customFormat="1" x14ac:dyDescent="0.25">
      <c r="A77" s="279">
        <v>3</v>
      </c>
      <c r="B77" s="279" t="s">
        <v>119</v>
      </c>
      <c r="C77" s="279" t="s">
        <v>120</v>
      </c>
      <c r="D77" s="279" t="s">
        <v>121</v>
      </c>
      <c r="E77" s="279" t="s">
        <v>122</v>
      </c>
      <c r="F77" s="279"/>
      <c r="G77" s="279"/>
      <c r="H77" s="86"/>
    </row>
    <row r="78" spans="1:8" s="27" customFormat="1" ht="36" x14ac:dyDescent="0.25">
      <c r="A78" s="279"/>
      <c r="B78" s="279"/>
      <c r="C78" s="279"/>
      <c r="D78" s="279"/>
      <c r="E78" s="87" t="s">
        <v>123</v>
      </c>
      <c r="F78" s="279" t="s">
        <v>124</v>
      </c>
      <c r="G78" s="279"/>
    </row>
    <row r="79" spans="1:8" s="27" customFormat="1" x14ac:dyDescent="0.25">
      <c r="A79" s="87"/>
      <c r="B79" s="87"/>
      <c r="C79" s="87"/>
      <c r="D79" s="87"/>
      <c r="E79" s="87"/>
      <c r="F79" s="88" t="s">
        <v>63</v>
      </c>
      <c r="G79" s="89"/>
    </row>
    <row r="80" spans="1:8" s="27" customFormat="1" ht="36" x14ac:dyDescent="0.25">
      <c r="A80" s="90" t="s">
        <v>50</v>
      </c>
      <c r="B80" s="37" t="s">
        <v>125</v>
      </c>
      <c r="C80" s="91">
        <v>1</v>
      </c>
      <c r="D80" s="90">
        <v>15</v>
      </c>
      <c r="E80" s="92">
        <f>252/365</f>
        <v>0.69041095890410964</v>
      </c>
      <c r="F80" s="93">
        <f>(C80*D80)*E80</f>
        <v>10.356164383561644</v>
      </c>
      <c r="G80" s="93"/>
    </row>
    <row r="81" spans="1:8" s="27" customFormat="1" ht="36" x14ac:dyDescent="0.25">
      <c r="A81" s="90" t="s">
        <v>52</v>
      </c>
      <c r="B81" s="37" t="s">
        <v>126</v>
      </c>
      <c r="C81" s="91">
        <v>1</v>
      </c>
      <c r="D81" s="90">
        <v>5</v>
      </c>
      <c r="E81" s="92">
        <f>252/365</f>
        <v>0.69041095890410964</v>
      </c>
      <c r="F81" s="93">
        <f t="shared" ref="F81:F87" si="4">(C81*D81)*E81</f>
        <v>3.4520547945205484</v>
      </c>
      <c r="G81" s="93"/>
    </row>
    <row r="82" spans="1:8" s="27" customFormat="1" ht="36" x14ac:dyDescent="0.25">
      <c r="A82" s="90" t="s">
        <v>55</v>
      </c>
      <c r="B82" s="37" t="s">
        <v>127</v>
      </c>
      <c r="C82" s="91">
        <v>1</v>
      </c>
      <c r="D82" s="90">
        <v>2</v>
      </c>
      <c r="E82" s="92">
        <v>1</v>
      </c>
      <c r="F82" s="93">
        <f t="shared" si="4"/>
        <v>2</v>
      </c>
      <c r="G82" s="93"/>
    </row>
    <row r="83" spans="1:8" s="27" customFormat="1" ht="36" x14ac:dyDescent="0.25">
      <c r="A83" s="90" t="s">
        <v>97</v>
      </c>
      <c r="B83" s="37" t="s">
        <v>128</v>
      </c>
      <c r="C83" s="91">
        <v>1</v>
      </c>
      <c r="D83" s="90">
        <v>2</v>
      </c>
      <c r="E83" s="92">
        <f>252/365</f>
        <v>0.69041095890410964</v>
      </c>
      <c r="F83" s="93">
        <f t="shared" si="4"/>
        <v>1.3808219178082193</v>
      </c>
      <c r="G83" s="93"/>
    </row>
    <row r="84" spans="1:8" s="27" customFormat="1" ht="24" x14ac:dyDescent="0.25">
      <c r="A84" s="90" t="s">
        <v>99</v>
      </c>
      <c r="B84" s="37" t="s">
        <v>129</v>
      </c>
      <c r="C84" s="91">
        <v>1</v>
      </c>
      <c r="D84" s="90">
        <v>3</v>
      </c>
      <c r="E84" s="92">
        <v>1</v>
      </c>
      <c r="F84" s="93">
        <f t="shared" si="4"/>
        <v>3</v>
      </c>
      <c r="G84" s="93"/>
    </row>
    <row r="85" spans="1:8" s="27" customFormat="1" ht="36" x14ac:dyDescent="0.25">
      <c r="A85" s="90" t="s">
        <v>101</v>
      </c>
      <c r="B85" s="37" t="s">
        <v>130</v>
      </c>
      <c r="C85" s="91">
        <v>1</v>
      </c>
      <c r="D85" s="90">
        <v>1</v>
      </c>
      <c r="E85" s="92">
        <v>1</v>
      </c>
      <c r="F85" s="94">
        <f t="shared" si="4"/>
        <v>1</v>
      </c>
      <c r="G85" s="93"/>
    </row>
    <row r="86" spans="1:8" s="27" customFormat="1" ht="24" x14ac:dyDescent="0.25">
      <c r="A86" s="90" t="s">
        <v>103</v>
      </c>
      <c r="B86" s="37" t="s">
        <v>131</v>
      </c>
      <c r="C86" s="91">
        <v>1</v>
      </c>
      <c r="D86" s="90">
        <v>1</v>
      </c>
      <c r="E86" s="95">
        <v>1</v>
      </c>
      <c r="F86" s="93">
        <f t="shared" si="4"/>
        <v>1</v>
      </c>
      <c r="G86" s="93"/>
    </row>
    <row r="87" spans="1:8" s="27" customFormat="1" ht="24" x14ac:dyDescent="0.25">
      <c r="A87" s="90" t="s">
        <v>105</v>
      </c>
      <c r="B87" s="37" t="s">
        <v>132</v>
      </c>
      <c r="C87" s="91">
        <v>1</v>
      </c>
      <c r="D87" s="90">
        <v>5</v>
      </c>
      <c r="E87" s="95">
        <f>252/365</f>
        <v>0.69041095890410964</v>
      </c>
      <c r="F87" s="93">
        <f t="shared" si="4"/>
        <v>3.4520547945205484</v>
      </c>
      <c r="G87" s="93"/>
    </row>
    <row r="88" spans="1:8" s="27" customFormat="1" ht="24" x14ac:dyDescent="0.25">
      <c r="A88" s="90" t="s">
        <v>133</v>
      </c>
      <c r="B88" s="37" t="s">
        <v>134</v>
      </c>
      <c r="C88" s="91">
        <v>1</v>
      </c>
      <c r="D88" s="90">
        <v>120</v>
      </c>
      <c r="E88" s="95">
        <f>252/365</f>
        <v>0.69041095890410964</v>
      </c>
      <c r="F88" s="93">
        <v>0</v>
      </c>
      <c r="G88" s="93"/>
    </row>
    <row r="89" spans="1:8" s="27" customFormat="1" ht="36" x14ac:dyDescent="0.25">
      <c r="A89" s="90" t="s">
        <v>135</v>
      </c>
      <c r="B89" s="37" t="s">
        <v>136</v>
      </c>
      <c r="C89" s="91">
        <v>1</v>
      </c>
      <c r="D89" s="90">
        <v>6</v>
      </c>
      <c r="E89" s="95">
        <v>1</v>
      </c>
      <c r="F89" s="93">
        <v>0</v>
      </c>
      <c r="G89" s="93"/>
      <c r="H89" s="96"/>
    </row>
    <row r="90" spans="1:8" s="27" customFormat="1" ht="10.5" customHeight="1" x14ac:dyDescent="0.25">
      <c r="A90" s="275" t="s">
        <v>137</v>
      </c>
      <c r="B90" s="275"/>
      <c r="C90" s="97"/>
      <c r="D90" s="98"/>
      <c r="E90" s="98"/>
      <c r="F90" s="99">
        <f>SUM(F80:F89)</f>
        <v>25.641095890410963</v>
      </c>
      <c r="G90" s="99">
        <f>SUM(G80:G89)</f>
        <v>0</v>
      </c>
      <c r="H90" s="96"/>
    </row>
    <row r="91" spans="1:8" s="27" customFormat="1" x14ac:dyDescent="0.25">
      <c r="A91" s="100"/>
      <c r="B91" s="100"/>
      <c r="C91" s="101"/>
      <c r="G91" s="102"/>
      <c r="H91" s="96"/>
    </row>
    <row r="92" spans="1:8" s="27" customFormat="1" ht="10.5" customHeight="1" x14ac:dyDescent="0.25">
      <c r="A92" s="276" t="s">
        <v>138</v>
      </c>
      <c r="B92" s="277"/>
      <c r="C92" s="277"/>
      <c r="D92" s="277"/>
      <c r="E92" s="277"/>
      <c r="F92" s="277"/>
      <c r="G92" s="277"/>
      <c r="H92" s="278"/>
    </row>
    <row r="93" spans="1:8" s="27" customFormat="1" ht="36" x14ac:dyDescent="0.25">
      <c r="A93" s="88" t="s">
        <v>139</v>
      </c>
      <c r="B93" s="88" t="s">
        <v>35</v>
      </c>
      <c r="C93" s="88" t="s">
        <v>37</v>
      </c>
      <c r="D93" s="88" t="s">
        <v>140</v>
      </c>
      <c r="E93" s="88" t="s">
        <v>141</v>
      </c>
      <c r="F93" s="88" t="s">
        <v>142</v>
      </c>
      <c r="G93" s="88" t="s">
        <v>143</v>
      </c>
      <c r="H93" s="88" t="s">
        <v>144</v>
      </c>
    </row>
    <row r="94" spans="1:8" s="27" customFormat="1" ht="10.5" customHeight="1" x14ac:dyDescent="0.25">
      <c r="A94" s="103" t="s">
        <v>50</v>
      </c>
      <c r="B94" s="104" t="s">
        <v>63</v>
      </c>
      <c r="C94" s="105">
        <f>SUM(D28,C71)</f>
        <v>3537.752</v>
      </c>
      <c r="D94" s="106">
        <v>30</v>
      </c>
      <c r="E94" s="105">
        <f>C94/D94</f>
        <v>117.92506666666667</v>
      </c>
      <c r="F94" s="106">
        <f>F90</f>
        <v>25.641095890410963</v>
      </c>
      <c r="G94" s="105">
        <f>E94*F94</f>
        <v>3023.7279422831057</v>
      </c>
      <c r="H94" s="107">
        <f>G94/12</f>
        <v>251.97732852359215</v>
      </c>
    </row>
    <row r="95" spans="1:8" s="27" customFormat="1" ht="10.5" customHeight="1" x14ac:dyDescent="0.25">
      <c r="A95" s="103" t="s">
        <v>52</v>
      </c>
      <c r="B95" s="104"/>
      <c r="C95" s="105">
        <f>SUM(D29,D71)</f>
        <v>0</v>
      </c>
      <c r="D95" s="106">
        <v>30</v>
      </c>
      <c r="E95" s="105">
        <f>C95/D95</f>
        <v>0</v>
      </c>
      <c r="F95" s="106">
        <f>G90</f>
        <v>0</v>
      </c>
      <c r="G95" s="105">
        <f>E95*F95</f>
        <v>0</v>
      </c>
      <c r="H95" s="107">
        <f>G95/12</f>
        <v>0</v>
      </c>
    </row>
    <row r="96" spans="1:8" s="27" customFormat="1" ht="10.5" customHeight="1" x14ac:dyDescent="0.25">
      <c r="A96" s="108"/>
      <c r="B96" s="109"/>
      <c r="C96" s="110"/>
      <c r="D96" s="111"/>
      <c r="E96" s="110"/>
      <c r="F96" s="111"/>
      <c r="G96" s="110"/>
      <c r="H96" s="110"/>
    </row>
    <row r="97" spans="1:8" s="27" customFormat="1" ht="10.5" customHeight="1" x14ac:dyDescent="0.25">
      <c r="G97" s="102"/>
      <c r="H97" s="96"/>
    </row>
    <row r="98" spans="1:8" s="27" customFormat="1" ht="74.25" customHeight="1" x14ac:dyDescent="0.25">
      <c r="A98" s="279" t="s">
        <v>145</v>
      </c>
      <c r="B98" s="279"/>
      <c r="C98" s="279"/>
      <c r="D98" s="279"/>
      <c r="F98" s="27" t="s">
        <v>146</v>
      </c>
      <c r="G98" s="102"/>
      <c r="H98" s="96"/>
    </row>
    <row r="99" spans="1:8" s="27" customFormat="1" ht="36" x14ac:dyDescent="0.25">
      <c r="A99" s="112" t="s">
        <v>139</v>
      </c>
      <c r="B99" s="112" t="s">
        <v>35</v>
      </c>
      <c r="C99" s="87" t="str">
        <f>H93</f>
        <v>Custo mensal</v>
      </c>
      <c r="D99" s="87" t="s">
        <v>147</v>
      </c>
      <c r="G99" s="102"/>
      <c r="H99" s="96"/>
    </row>
    <row r="100" spans="1:8" s="27" customFormat="1" x14ac:dyDescent="0.25">
      <c r="A100" s="103" t="s">
        <v>50</v>
      </c>
      <c r="B100" s="104" t="s">
        <v>63</v>
      </c>
      <c r="C100" s="105">
        <f>H94</f>
        <v>251.97732852359215</v>
      </c>
      <c r="D100" s="113">
        <f>C100*2.24%</f>
        <v>5.6442921589284651</v>
      </c>
    </row>
    <row r="101" spans="1:8" s="27" customFormat="1" ht="10.5" customHeight="1" x14ac:dyDescent="0.25">
      <c r="A101" s="103" t="s">
        <v>52</v>
      </c>
      <c r="B101" s="103"/>
      <c r="C101" s="114">
        <f>H95</f>
        <v>0</v>
      </c>
      <c r="D101" s="115">
        <f>C101*2.24%</f>
        <v>0</v>
      </c>
    </row>
    <row r="102" spans="1:8" s="27" customFormat="1" ht="10.5" customHeight="1" x14ac:dyDescent="0.25">
      <c r="A102" s="76"/>
      <c r="B102" s="76"/>
      <c r="C102" s="76"/>
    </row>
    <row r="103" spans="1:8" x14ac:dyDescent="0.2">
      <c r="A103" s="252" t="s">
        <v>148</v>
      </c>
      <c r="B103" s="253"/>
      <c r="C103" s="253"/>
      <c r="D103" s="253"/>
      <c r="E103" s="253"/>
      <c r="F103" s="253"/>
      <c r="G103" s="254"/>
      <c r="H103" s="27"/>
    </row>
    <row r="104" spans="1:8" ht="39" customHeight="1" x14ac:dyDescent="0.2">
      <c r="A104" s="32" t="s">
        <v>149</v>
      </c>
      <c r="B104" s="117" t="s">
        <v>150</v>
      </c>
      <c r="C104" s="32" t="s">
        <v>151</v>
      </c>
      <c r="D104" s="32" t="s">
        <v>152</v>
      </c>
      <c r="E104" s="32" t="s">
        <v>153</v>
      </c>
      <c r="F104" s="32" t="s">
        <v>154</v>
      </c>
      <c r="G104" s="118" t="s">
        <v>155</v>
      </c>
      <c r="H104" s="27"/>
    </row>
    <row r="105" spans="1:8" x14ac:dyDescent="0.2">
      <c r="A105" s="32" t="s">
        <v>156</v>
      </c>
      <c r="B105" s="119" t="s">
        <v>157</v>
      </c>
      <c r="C105" s="120"/>
      <c r="D105" s="121"/>
      <c r="E105" s="121"/>
      <c r="F105" s="121"/>
      <c r="G105" s="122"/>
      <c r="H105" s="27"/>
    </row>
    <row r="106" spans="1:8" ht="24" x14ac:dyDescent="0.2">
      <c r="A106" s="31" t="s">
        <v>50</v>
      </c>
      <c r="B106" s="66" t="s">
        <v>158</v>
      </c>
      <c r="C106" s="40">
        <v>1</v>
      </c>
      <c r="D106" s="40">
        <v>4</v>
      </c>
      <c r="E106" s="40">
        <f>SUM(12/D106)*C106</f>
        <v>3</v>
      </c>
      <c r="F106" s="123">
        <v>60</v>
      </c>
      <c r="G106" s="124">
        <f>(F106*E106*C106)</f>
        <v>180</v>
      </c>
      <c r="H106" s="27"/>
    </row>
    <row r="107" spans="1:8" ht="24" x14ac:dyDescent="0.2">
      <c r="A107" s="31" t="s">
        <v>52</v>
      </c>
      <c r="B107" s="66" t="s">
        <v>159</v>
      </c>
      <c r="C107" s="40">
        <v>1</v>
      </c>
      <c r="D107" s="40">
        <v>4</v>
      </c>
      <c r="E107" s="40">
        <f t="shared" ref="E107:E108" si="5">SUM(12/D107)*C107</f>
        <v>3</v>
      </c>
      <c r="F107" s="123">
        <v>70</v>
      </c>
      <c r="G107" s="124">
        <f>(F107*E107*C107)</f>
        <v>210</v>
      </c>
      <c r="H107" s="27"/>
    </row>
    <row r="108" spans="1:8" x14ac:dyDescent="0.2">
      <c r="A108" s="31" t="s">
        <v>55</v>
      </c>
      <c r="B108" s="66" t="s">
        <v>160</v>
      </c>
      <c r="C108" s="40">
        <v>1</v>
      </c>
      <c r="D108" s="40">
        <v>3</v>
      </c>
      <c r="E108" s="40">
        <f t="shared" si="5"/>
        <v>4</v>
      </c>
      <c r="F108" s="123">
        <v>80</v>
      </c>
      <c r="G108" s="124">
        <f>(F108*E108*C108)</f>
        <v>320</v>
      </c>
      <c r="H108" s="27"/>
    </row>
    <row r="109" spans="1:8" x14ac:dyDescent="0.2">
      <c r="A109" s="280" t="s">
        <v>161</v>
      </c>
      <c r="B109" s="281"/>
      <c r="C109" s="281"/>
      <c r="D109" s="281"/>
      <c r="E109" s="281"/>
      <c r="F109" s="282">
        <f>SUM(G106:G109)</f>
        <v>710</v>
      </c>
      <c r="G109" s="282"/>
      <c r="H109" s="27"/>
    </row>
    <row r="110" spans="1:8" x14ac:dyDescent="0.2">
      <c r="A110" s="125"/>
      <c r="B110" s="281" t="s">
        <v>162</v>
      </c>
      <c r="C110" s="281"/>
      <c r="D110" s="281"/>
      <c r="E110" s="286"/>
      <c r="F110" s="289">
        <f>F109/12</f>
        <v>59.166666666666664</v>
      </c>
      <c r="G110" s="290"/>
      <c r="H110" s="27"/>
    </row>
    <row r="111" spans="1:8" ht="36" x14ac:dyDescent="0.2">
      <c r="A111" s="32" t="s">
        <v>163</v>
      </c>
      <c r="B111" s="117" t="s">
        <v>164</v>
      </c>
      <c r="C111" s="32" t="s">
        <v>151</v>
      </c>
      <c r="D111" s="32" t="s">
        <v>152</v>
      </c>
      <c r="E111" s="32" t="s">
        <v>153</v>
      </c>
      <c r="F111" s="32" t="s">
        <v>154</v>
      </c>
      <c r="G111" s="118" t="s">
        <v>155</v>
      </c>
      <c r="H111" s="27"/>
    </row>
    <row r="112" spans="1:8" x14ac:dyDescent="0.2">
      <c r="A112" s="90" t="s">
        <v>50</v>
      </c>
      <c r="B112" s="37" t="s">
        <v>165</v>
      </c>
      <c r="C112" s="126">
        <v>0</v>
      </c>
      <c r="D112" s="126">
        <v>4</v>
      </c>
      <c r="E112" s="40">
        <f>SUM(12/D112)*C112</f>
        <v>0</v>
      </c>
      <c r="F112" s="123">
        <v>0</v>
      </c>
      <c r="G112" s="127">
        <f>F112*E112</f>
        <v>0</v>
      </c>
      <c r="H112" s="84"/>
    </row>
    <row r="113" spans="1:8" x14ac:dyDescent="0.2">
      <c r="A113" s="90" t="s">
        <v>52</v>
      </c>
      <c r="B113" s="128" t="s">
        <v>166</v>
      </c>
      <c r="C113" s="126">
        <v>0</v>
      </c>
      <c r="D113" s="126">
        <v>1</v>
      </c>
      <c r="E113" s="40">
        <f t="shared" ref="E113:E115" si="6">SUM(12/D113)*C113</f>
        <v>0</v>
      </c>
      <c r="F113" s="123">
        <v>0</v>
      </c>
      <c r="G113" s="127">
        <f>F113*E113</f>
        <v>0</v>
      </c>
      <c r="H113" s="84"/>
    </row>
    <row r="114" spans="1:8" x14ac:dyDescent="0.2">
      <c r="A114" s="40" t="s">
        <v>55</v>
      </c>
      <c r="B114" s="27" t="s">
        <v>167</v>
      </c>
      <c r="C114" s="40">
        <v>0</v>
      </c>
      <c r="D114" s="40">
        <v>6</v>
      </c>
      <c r="E114" s="40">
        <f t="shared" si="6"/>
        <v>0</v>
      </c>
      <c r="F114" s="123">
        <v>0</v>
      </c>
      <c r="G114" s="124">
        <f>(F114*E114*C114)</f>
        <v>0</v>
      </c>
      <c r="H114" s="84"/>
    </row>
    <row r="115" spans="1:8" ht="48" x14ac:dyDescent="0.2">
      <c r="A115" s="40" t="s">
        <v>97</v>
      </c>
      <c r="B115" s="129" t="s">
        <v>168</v>
      </c>
      <c r="C115" s="40">
        <v>0</v>
      </c>
      <c r="D115" s="40">
        <v>2</v>
      </c>
      <c r="E115" s="40">
        <f t="shared" si="6"/>
        <v>0</v>
      </c>
      <c r="F115" s="123">
        <v>0</v>
      </c>
      <c r="G115" s="124">
        <f>(F115*E115*C115)</f>
        <v>0</v>
      </c>
      <c r="H115" s="84"/>
    </row>
    <row r="116" spans="1:8" x14ac:dyDescent="0.2">
      <c r="A116" s="280" t="s">
        <v>161</v>
      </c>
      <c r="B116" s="281"/>
      <c r="C116" s="281"/>
      <c r="D116" s="281"/>
      <c r="E116" s="281"/>
      <c r="F116" s="282">
        <f>SUM(G112:G115)</f>
        <v>0</v>
      </c>
      <c r="G116" s="282"/>
      <c r="H116" s="84"/>
    </row>
    <row r="117" spans="1:8" x14ac:dyDescent="0.2">
      <c r="A117" s="125"/>
      <c r="B117" s="281" t="s">
        <v>169</v>
      </c>
      <c r="C117" s="281"/>
      <c r="D117" s="281"/>
      <c r="E117" s="281"/>
      <c r="F117" s="291">
        <f>F116/12</f>
        <v>0</v>
      </c>
      <c r="G117" s="290"/>
      <c r="H117" s="84"/>
    </row>
    <row r="118" spans="1:8" ht="36" x14ac:dyDescent="0.2">
      <c r="A118" s="32" t="s">
        <v>170</v>
      </c>
      <c r="B118" s="117" t="s">
        <v>171</v>
      </c>
      <c r="C118" s="32" t="s">
        <v>151</v>
      </c>
      <c r="D118" s="32" t="s">
        <v>152</v>
      </c>
      <c r="E118" s="32" t="s">
        <v>153</v>
      </c>
      <c r="F118" s="32" t="s">
        <v>154</v>
      </c>
      <c r="G118" s="118" t="s">
        <v>155</v>
      </c>
      <c r="H118" s="84"/>
    </row>
    <row r="119" spans="1:8" x14ac:dyDescent="0.2">
      <c r="A119" s="32" t="s">
        <v>172</v>
      </c>
      <c r="B119" s="119" t="s">
        <v>173</v>
      </c>
      <c r="C119" s="120"/>
      <c r="D119" s="121"/>
      <c r="E119" s="121"/>
      <c r="F119" s="121"/>
      <c r="G119" s="122"/>
      <c r="H119" s="27"/>
    </row>
    <row r="120" spans="1:8" ht="24" x14ac:dyDescent="0.2">
      <c r="A120" s="90" t="s">
        <v>50</v>
      </c>
      <c r="B120" s="66" t="s">
        <v>158</v>
      </c>
      <c r="C120" s="130">
        <v>0</v>
      </c>
      <c r="D120" s="40">
        <v>4</v>
      </c>
      <c r="E120" s="131">
        <f>SUM(12/D120)*C120</f>
        <v>0</v>
      </c>
      <c r="F120" s="123">
        <v>0</v>
      </c>
      <c r="G120" s="132">
        <f>F120*E120</f>
        <v>0</v>
      </c>
      <c r="H120" s="27"/>
    </row>
    <row r="121" spans="1:8" ht="24" x14ac:dyDescent="0.2">
      <c r="A121" s="90" t="s">
        <v>52</v>
      </c>
      <c r="B121" s="66" t="s">
        <v>159</v>
      </c>
      <c r="C121" s="130">
        <v>0</v>
      </c>
      <c r="D121" s="40">
        <v>4</v>
      </c>
      <c r="E121" s="131">
        <f t="shared" ref="E121:E122" si="7">SUM(12/D121)*C121</f>
        <v>0</v>
      </c>
      <c r="F121" s="123">
        <v>0</v>
      </c>
      <c r="G121" s="132">
        <f>F121*E121</f>
        <v>0</v>
      </c>
      <c r="H121" s="27"/>
    </row>
    <row r="122" spans="1:8" x14ac:dyDescent="0.2">
      <c r="A122" s="90" t="s">
        <v>55</v>
      </c>
      <c r="B122" s="66" t="s">
        <v>160</v>
      </c>
      <c r="C122" s="130">
        <v>0</v>
      </c>
      <c r="D122" s="40">
        <v>3</v>
      </c>
      <c r="E122" s="131">
        <f t="shared" si="7"/>
        <v>0</v>
      </c>
      <c r="F122" s="123">
        <v>0</v>
      </c>
      <c r="G122" s="132">
        <f>F122*E122</f>
        <v>0</v>
      </c>
      <c r="H122" s="27"/>
    </row>
    <row r="123" spans="1:8" x14ac:dyDescent="0.2">
      <c r="A123" s="280" t="s">
        <v>161</v>
      </c>
      <c r="B123" s="281"/>
      <c r="C123" s="281"/>
      <c r="D123" s="281"/>
      <c r="E123" s="281"/>
      <c r="F123" s="282">
        <f>SUM(G120:G122)</f>
        <v>0</v>
      </c>
      <c r="G123" s="282"/>
      <c r="H123" s="27"/>
    </row>
    <row r="124" spans="1:8" ht="15.75" customHeight="1" x14ac:dyDescent="0.2">
      <c r="A124" s="281" t="s">
        <v>169</v>
      </c>
      <c r="B124" s="281"/>
      <c r="C124" s="281"/>
      <c r="D124" s="281"/>
      <c r="E124" s="286"/>
      <c r="F124" s="282">
        <f>F123/12</f>
        <v>0</v>
      </c>
      <c r="G124" s="282"/>
      <c r="H124" s="27"/>
    </row>
    <row r="125" spans="1:8" x14ac:dyDescent="0.2">
      <c r="A125" s="32" t="s">
        <v>174</v>
      </c>
      <c r="B125" s="117" t="s">
        <v>164</v>
      </c>
      <c r="C125" s="133"/>
      <c r="D125" s="121"/>
      <c r="E125" s="121"/>
      <c r="F125" s="121"/>
      <c r="G125" s="122"/>
      <c r="H125" s="27"/>
    </row>
    <row r="126" spans="1:8" ht="24" x14ac:dyDescent="0.2">
      <c r="A126" s="90" t="s">
        <v>50</v>
      </c>
      <c r="B126" s="37" t="s">
        <v>175</v>
      </c>
      <c r="C126" s="126">
        <v>0</v>
      </c>
      <c r="D126" s="126">
        <v>4</v>
      </c>
      <c r="E126" s="40">
        <f>SUM(12/D126)*C126</f>
        <v>0</v>
      </c>
      <c r="F126" s="123">
        <v>0</v>
      </c>
      <c r="G126" s="127">
        <f>F126*E126</f>
        <v>0</v>
      </c>
      <c r="H126" s="27"/>
    </row>
    <row r="127" spans="1:8" x14ac:dyDescent="0.2">
      <c r="A127" s="90" t="s">
        <v>52</v>
      </c>
      <c r="B127" s="128" t="s">
        <v>166</v>
      </c>
      <c r="C127" s="126">
        <v>0</v>
      </c>
      <c r="D127" s="126">
        <v>1</v>
      </c>
      <c r="E127" s="40">
        <f t="shared" ref="E127" si="8">SUM(12/D127)*C127</f>
        <v>0</v>
      </c>
      <c r="F127" s="123">
        <v>0</v>
      </c>
      <c r="G127" s="127">
        <f>F127*E127</f>
        <v>0</v>
      </c>
      <c r="H127" s="27"/>
    </row>
    <row r="128" spans="1:8" x14ac:dyDescent="0.2">
      <c r="A128" s="287" t="s">
        <v>176</v>
      </c>
      <c r="B128" s="288"/>
      <c r="C128" s="288"/>
      <c r="D128" s="288"/>
      <c r="E128" s="288"/>
      <c r="F128" s="282">
        <f>SUM(G126:G127)</f>
        <v>0</v>
      </c>
      <c r="G128" s="282"/>
      <c r="H128" s="27"/>
    </row>
    <row r="129" spans="1:8" x14ac:dyDescent="0.2">
      <c r="A129" s="134"/>
      <c r="B129" s="288" t="s">
        <v>177</v>
      </c>
      <c r="C129" s="288"/>
      <c r="D129" s="288"/>
      <c r="E129" s="288"/>
      <c r="F129" s="282">
        <f>F128/12</f>
        <v>0</v>
      </c>
      <c r="G129" s="282"/>
      <c r="H129" s="27"/>
    </row>
    <row r="130" spans="1:8" x14ac:dyDescent="0.2">
      <c r="A130" s="135"/>
      <c r="B130" s="136"/>
      <c r="C130" s="136"/>
      <c r="D130" s="136"/>
      <c r="E130" s="137"/>
      <c r="F130" s="138"/>
      <c r="G130" s="138"/>
      <c r="H130" s="27"/>
    </row>
    <row r="131" spans="1:8" x14ac:dyDescent="0.2">
      <c r="A131" s="252" t="s">
        <v>178</v>
      </c>
      <c r="B131" s="253"/>
      <c r="C131" s="253"/>
      <c r="D131" s="253"/>
      <c r="E131" s="253"/>
      <c r="F131" s="254"/>
      <c r="G131" s="138"/>
      <c r="H131" s="27"/>
    </row>
    <row r="132" spans="1:8" ht="24" customHeight="1" x14ac:dyDescent="0.2">
      <c r="A132" s="139"/>
      <c r="B132" s="140"/>
      <c r="C132" s="141" t="s">
        <v>179</v>
      </c>
      <c r="D132" s="141" t="s">
        <v>180</v>
      </c>
      <c r="E132" s="141" t="s">
        <v>179</v>
      </c>
      <c r="F132" s="141" t="s">
        <v>180</v>
      </c>
      <c r="G132" s="138"/>
      <c r="H132" s="27"/>
    </row>
    <row r="133" spans="1:8" x14ac:dyDescent="0.2">
      <c r="A133" s="34" t="s">
        <v>50</v>
      </c>
      <c r="B133" s="34" t="s">
        <v>181</v>
      </c>
      <c r="C133" s="124">
        <f>F109</f>
        <v>710</v>
      </c>
      <c r="D133" s="124">
        <f>C133/12</f>
        <v>59.166666666666664</v>
      </c>
      <c r="E133" s="124">
        <f>F123</f>
        <v>0</v>
      </c>
      <c r="F133" s="124">
        <f>E133/12</f>
        <v>0</v>
      </c>
      <c r="G133" s="138"/>
      <c r="H133" s="27"/>
    </row>
    <row r="134" spans="1:8" x14ac:dyDescent="0.2">
      <c r="A134" s="34" t="s">
        <v>52</v>
      </c>
      <c r="B134" s="34" t="s">
        <v>182</v>
      </c>
      <c r="C134" s="124">
        <f>F116</f>
        <v>0</v>
      </c>
      <c r="D134" s="124">
        <f>C134/12</f>
        <v>0</v>
      </c>
      <c r="E134" s="124">
        <f>F128</f>
        <v>0</v>
      </c>
      <c r="F134" s="124">
        <f>E134/12</f>
        <v>0</v>
      </c>
      <c r="G134" s="138"/>
      <c r="H134" s="27"/>
    </row>
    <row r="135" spans="1:8" x14ac:dyDescent="0.2">
      <c r="A135" s="98"/>
      <c r="B135" s="142" t="s">
        <v>9</v>
      </c>
      <c r="C135" s="143">
        <f>SUM(C133:C134)</f>
        <v>710</v>
      </c>
      <c r="D135" s="77">
        <f>SUM(D133:D134)</f>
        <v>59.166666666666664</v>
      </c>
      <c r="E135" s="143">
        <f>SUM(E133:E134)</f>
        <v>0</v>
      </c>
      <c r="F135" s="77">
        <f>E135/12</f>
        <v>0</v>
      </c>
      <c r="G135" s="138"/>
      <c r="H135" s="27"/>
    </row>
    <row r="136" spans="1:8" x14ac:dyDescent="0.2">
      <c r="A136" s="45"/>
      <c r="B136" s="83"/>
      <c r="C136" s="138"/>
      <c r="D136" s="138"/>
      <c r="E136" s="137"/>
      <c r="F136" s="137"/>
      <c r="G136" s="138"/>
      <c r="H136" s="27"/>
    </row>
    <row r="137" spans="1:8" ht="19.5" customHeight="1" x14ac:dyDescent="0.2">
      <c r="A137" s="252" t="s">
        <v>183</v>
      </c>
      <c r="B137" s="253"/>
      <c r="C137" s="253"/>
      <c r="D137" s="253"/>
      <c r="E137" s="253"/>
      <c r="F137" s="253"/>
      <c r="G137" s="254"/>
      <c r="H137" s="27"/>
    </row>
    <row r="138" spans="1:8" ht="36" x14ac:dyDescent="0.2">
      <c r="A138" s="32" t="s">
        <v>184</v>
      </c>
      <c r="B138" s="118" t="s">
        <v>185</v>
      </c>
      <c r="C138" s="32" t="s">
        <v>151</v>
      </c>
      <c r="D138" s="32" t="s">
        <v>152</v>
      </c>
      <c r="E138" s="32" t="s">
        <v>153</v>
      </c>
      <c r="F138" s="32" t="s">
        <v>154</v>
      </c>
      <c r="G138" s="118" t="s">
        <v>155</v>
      </c>
      <c r="H138" s="27"/>
    </row>
    <row r="139" spans="1:8" x14ac:dyDescent="0.2">
      <c r="A139" s="31" t="s">
        <v>50</v>
      </c>
      <c r="B139" s="34"/>
      <c r="C139" s="40"/>
      <c r="D139" s="40"/>
      <c r="E139" s="40"/>
      <c r="F139" s="124"/>
      <c r="G139" s="124">
        <f>(F139*E139*C139)</f>
        <v>0</v>
      </c>
      <c r="H139" s="27"/>
    </row>
    <row r="140" spans="1:8" x14ac:dyDescent="0.2">
      <c r="A140" s="31" t="s">
        <v>52</v>
      </c>
      <c r="B140" s="34"/>
      <c r="C140" s="40"/>
      <c r="D140" s="31"/>
      <c r="E140" s="40"/>
      <c r="F140" s="124"/>
      <c r="G140" s="124">
        <f>(F140*E140*C140)</f>
        <v>0</v>
      </c>
      <c r="H140" s="27"/>
    </row>
    <row r="141" spans="1:8" x14ac:dyDescent="0.2">
      <c r="A141" s="31" t="s">
        <v>55</v>
      </c>
      <c r="B141" s="34"/>
      <c r="C141" s="40"/>
      <c r="D141" s="40"/>
      <c r="E141" s="40"/>
      <c r="F141" s="124"/>
      <c r="G141" s="124">
        <f>F141*E141</f>
        <v>0</v>
      </c>
      <c r="H141" s="27"/>
    </row>
    <row r="142" spans="1:8" x14ac:dyDescent="0.2">
      <c r="A142" s="31" t="s">
        <v>97</v>
      </c>
      <c r="B142" s="144"/>
      <c r="C142" s="145"/>
      <c r="D142" s="145"/>
      <c r="E142" s="145"/>
      <c r="F142" s="146"/>
      <c r="G142" s="146">
        <f>F142*E142</f>
        <v>0</v>
      </c>
      <c r="H142" s="27"/>
    </row>
    <row r="143" spans="1:8" x14ac:dyDescent="0.2">
      <c r="A143" s="31" t="s">
        <v>99</v>
      </c>
      <c r="B143" s="144"/>
      <c r="C143" s="145"/>
      <c r="D143" s="145"/>
      <c r="E143" s="145"/>
      <c r="F143" s="146"/>
      <c r="G143" s="146">
        <f>F143*E143</f>
        <v>0</v>
      </c>
      <c r="H143" s="27"/>
    </row>
    <row r="144" spans="1:8" x14ac:dyDescent="0.2">
      <c r="A144" s="299" t="s">
        <v>186</v>
      </c>
      <c r="B144" s="299"/>
      <c r="C144" s="299"/>
      <c r="D144" s="299"/>
      <c r="E144" s="299"/>
      <c r="F144" s="282">
        <f>SUM(G139:G143)</f>
        <v>0</v>
      </c>
      <c r="G144" s="282"/>
      <c r="H144" s="70"/>
    </row>
    <row r="145" spans="1:8" s="151" customFormat="1" ht="36" x14ac:dyDescent="0.2">
      <c r="A145" s="147" t="s">
        <v>187</v>
      </c>
      <c r="B145" s="148" t="s">
        <v>188</v>
      </c>
      <c r="C145" s="149" t="s">
        <v>189</v>
      </c>
      <c r="D145" s="147" t="s">
        <v>190</v>
      </c>
      <c r="E145" s="147" t="s">
        <v>154</v>
      </c>
      <c r="F145" s="150" t="s">
        <v>191</v>
      </c>
      <c r="G145" s="32" t="s">
        <v>192</v>
      </c>
      <c r="H145" s="45"/>
    </row>
    <row r="146" spans="1:8" s="151" customFormat="1" ht="51" customHeight="1" x14ac:dyDescent="0.2">
      <c r="A146" s="126" t="s">
        <v>50</v>
      </c>
      <c r="B146" s="129"/>
      <c r="C146" s="152"/>
      <c r="D146" s="126"/>
      <c r="E146" s="153"/>
      <c r="F146" s="152"/>
      <c r="G146" s="60">
        <f>116.67*E146*12</f>
        <v>0</v>
      </c>
      <c r="H146" s="45"/>
    </row>
    <row r="147" spans="1:8" s="151" customFormat="1" ht="63.75" customHeight="1" x14ac:dyDescent="0.2">
      <c r="A147" s="126" t="s">
        <v>52</v>
      </c>
      <c r="B147" s="154"/>
      <c r="C147" s="40"/>
      <c r="D147" s="31"/>
      <c r="E147" s="155"/>
      <c r="F147" s="40"/>
      <c r="G147" s="60">
        <f>6.3*E147</f>
        <v>0</v>
      </c>
      <c r="H147" s="45"/>
    </row>
    <row r="148" spans="1:8" s="151" customFormat="1" ht="27.75" customHeight="1" x14ac:dyDescent="0.2">
      <c r="A148" s="126" t="s">
        <v>55</v>
      </c>
      <c r="B148" s="66"/>
      <c r="C148" s="40"/>
      <c r="D148" s="31"/>
      <c r="E148" s="155"/>
      <c r="F148" s="40"/>
      <c r="G148" s="124">
        <f>6*E148</f>
        <v>0</v>
      </c>
      <c r="H148" s="45"/>
    </row>
    <row r="149" spans="1:8" s="157" customFormat="1" x14ac:dyDescent="0.2">
      <c r="A149" s="126" t="s">
        <v>97</v>
      </c>
      <c r="B149" s="66"/>
      <c r="C149" s="40"/>
      <c r="D149" s="156"/>
      <c r="E149" s="155"/>
      <c r="F149" s="40"/>
      <c r="G149" s="124">
        <f>4*12*E149</f>
        <v>0</v>
      </c>
      <c r="H149" s="48"/>
    </row>
    <row r="150" spans="1:8" x14ac:dyDescent="0.2">
      <c r="A150" s="292" t="s">
        <v>193</v>
      </c>
      <c r="B150" s="293"/>
      <c r="C150" s="293"/>
      <c r="D150" s="293"/>
      <c r="E150" s="294"/>
      <c r="F150" s="295">
        <f>SUM(G146:G149)</f>
        <v>0</v>
      </c>
      <c r="G150" s="296"/>
      <c r="H150" s="27"/>
    </row>
    <row r="151" spans="1:8" ht="15.75" customHeight="1" x14ac:dyDescent="0.2">
      <c r="A151" s="263" t="s">
        <v>194</v>
      </c>
      <c r="B151" s="263"/>
      <c r="C151" s="263"/>
      <c r="D151" s="263"/>
      <c r="E151" s="263"/>
      <c r="F151" s="297">
        <f>F150/12</f>
        <v>0</v>
      </c>
      <c r="G151" s="297"/>
    </row>
    <row r="152" spans="1:8" s="160" customFormat="1" ht="15.75" customHeight="1" x14ac:dyDescent="0.2">
      <c r="A152" s="158"/>
      <c r="B152" s="158"/>
      <c r="C152" s="158"/>
      <c r="D152" s="158"/>
      <c r="E152" s="158"/>
      <c r="F152" s="159"/>
      <c r="G152" s="159"/>
    </row>
    <row r="153" spans="1:8" x14ac:dyDescent="0.2">
      <c r="A153" s="266" t="s">
        <v>195</v>
      </c>
      <c r="B153" s="266"/>
      <c r="C153" s="266"/>
      <c r="D153" s="266"/>
      <c r="E153" s="83"/>
      <c r="F153" s="83"/>
      <c r="G153" s="161"/>
      <c r="H153" s="161"/>
    </row>
    <row r="154" spans="1:8" x14ac:dyDescent="0.2">
      <c r="A154" s="162"/>
      <c r="B154" s="163" t="s">
        <v>196</v>
      </c>
      <c r="C154" s="32" t="s">
        <v>197</v>
      </c>
      <c r="D154" s="32" t="s">
        <v>198</v>
      </c>
      <c r="E154" s="164"/>
      <c r="F154" s="161"/>
      <c r="G154" s="161"/>
      <c r="H154" s="161"/>
    </row>
    <row r="155" spans="1:8" ht="15" customHeight="1" x14ac:dyDescent="0.2">
      <c r="A155" s="165" t="s">
        <v>184</v>
      </c>
      <c r="B155" s="165" t="s">
        <v>199</v>
      </c>
      <c r="C155" s="60">
        <f>F144</f>
        <v>0</v>
      </c>
      <c r="D155" s="60">
        <f>C155/12</f>
        <v>0</v>
      </c>
      <c r="E155" s="161"/>
      <c r="F155" s="161"/>
      <c r="G155" s="161"/>
      <c r="H155" s="161"/>
    </row>
    <row r="156" spans="1:8" ht="15" customHeight="1" x14ac:dyDescent="0.2">
      <c r="A156" s="165" t="s">
        <v>187</v>
      </c>
      <c r="B156" s="165" t="s">
        <v>200</v>
      </c>
      <c r="C156" s="60">
        <f>F150</f>
        <v>0</v>
      </c>
      <c r="D156" s="60">
        <f>C156/12</f>
        <v>0</v>
      </c>
      <c r="E156" s="161"/>
      <c r="F156" s="161"/>
      <c r="G156" s="161"/>
      <c r="H156" s="161"/>
    </row>
    <row r="157" spans="1:8" ht="15" customHeight="1" x14ac:dyDescent="0.2">
      <c r="A157" s="287" t="s">
        <v>201</v>
      </c>
      <c r="B157" s="288"/>
      <c r="C157" s="298"/>
      <c r="D157" s="166">
        <f>SUM(D155:D156)</f>
        <v>0</v>
      </c>
      <c r="F157" s="167"/>
      <c r="G157" s="161"/>
      <c r="H157" s="161"/>
    </row>
    <row r="158" spans="1:8" ht="15" customHeight="1" x14ac:dyDescent="0.2">
      <c r="A158" s="45"/>
      <c r="B158" s="83"/>
      <c r="C158" s="168"/>
      <c r="D158" s="169"/>
      <c r="E158" s="169"/>
      <c r="F158" s="167"/>
      <c r="G158" s="161"/>
      <c r="H158" s="161"/>
    </row>
    <row r="159" spans="1:8" s="171" customFormat="1" ht="15" customHeight="1" x14ac:dyDescent="0.2">
      <c r="A159" s="310" t="s">
        <v>202</v>
      </c>
      <c r="B159" s="311"/>
      <c r="C159" s="311"/>
      <c r="D159" s="311"/>
      <c r="E159" s="311"/>
      <c r="F159" s="311"/>
      <c r="G159" s="312"/>
      <c r="H159" s="170"/>
    </row>
    <row r="160" spans="1:8" s="171" customFormat="1" ht="47.25" customHeight="1" x14ac:dyDescent="0.2">
      <c r="A160" s="313" t="s">
        <v>203</v>
      </c>
      <c r="B160" s="314"/>
      <c r="C160" s="314"/>
      <c r="D160" s="314"/>
      <c r="E160" s="314"/>
      <c r="F160" s="314"/>
      <c r="G160" s="315"/>
      <c r="H160" s="170"/>
    </row>
    <row r="161" spans="1:8" ht="10.5" customHeight="1" x14ac:dyDescent="0.2">
      <c r="A161" s="27"/>
      <c r="B161" s="27"/>
      <c r="C161" s="27"/>
      <c r="D161" s="27"/>
      <c r="E161" s="27"/>
      <c r="F161" s="27"/>
      <c r="G161" s="27"/>
      <c r="H161" s="161"/>
    </row>
    <row r="162" spans="1:8" ht="51" customHeight="1" x14ac:dyDescent="0.2">
      <c r="A162" s="316" t="s">
        <v>204</v>
      </c>
      <c r="B162" s="317"/>
      <c r="C162" s="317"/>
      <c r="D162" s="318"/>
      <c r="E162" s="27"/>
      <c r="F162" s="27"/>
      <c r="G162" s="27"/>
      <c r="H162" s="161"/>
    </row>
    <row r="163" spans="1:8" ht="15" customHeight="1" x14ac:dyDescent="0.2">
      <c r="A163" s="300" t="s">
        <v>205</v>
      </c>
      <c r="B163" s="301"/>
      <c r="C163" s="302">
        <v>1.5699999999999999E-2</v>
      </c>
      <c r="D163" s="302"/>
      <c r="E163" s="27"/>
      <c r="F163" s="27"/>
      <c r="G163" s="27"/>
      <c r="H163" s="161"/>
    </row>
    <row r="164" spans="1:8" x14ac:dyDescent="0.2">
      <c r="A164" s="319" t="s">
        <v>206</v>
      </c>
      <c r="B164" s="320"/>
      <c r="C164" s="321">
        <v>0.14249999999999999</v>
      </c>
      <c r="D164" s="322"/>
      <c r="E164" s="27"/>
      <c r="F164" s="27"/>
      <c r="G164" s="27"/>
    </row>
    <row r="165" spans="1:8" ht="15.75" customHeight="1" x14ac:dyDescent="0.2">
      <c r="A165" s="325" t="s">
        <v>207</v>
      </c>
      <c r="B165" s="326"/>
      <c r="C165" s="323"/>
      <c r="D165" s="324"/>
      <c r="E165" s="27"/>
      <c r="F165" s="27"/>
      <c r="G165" s="27"/>
    </row>
    <row r="166" spans="1:8" x14ac:dyDescent="0.2">
      <c r="A166" s="300" t="s">
        <v>208</v>
      </c>
      <c r="B166" s="301"/>
      <c r="C166" s="302">
        <v>0.15</v>
      </c>
      <c r="D166" s="302"/>
      <c r="E166" s="27"/>
      <c r="F166" s="27"/>
      <c r="G166" s="27"/>
    </row>
    <row r="167" spans="1:8" x14ac:dyDescent="0.2">
      <c r="A167" s="303" t="s">
        <v>36</v>
      </c>
      <c r="B167" s="304"/>
      <c r="C167" s="305">
        <f>SUM(C163:D166)</f>
        <v>0.30819999999999997</v>
      </c>
      <c r="D167" s="306"/>
      <c r="E167" s="27"/>
      <c r="F167" s="27"/>
      <c r="G167" s="27"/>
    </row>
    <row r="168" spans="1:8" s="151" customFormat="1" x14ac:dyDescent="0.2">
      <c r="A168" s="172"/>
      <c r="B168" s="173"/>
      <c r="C168" s="174"/>
      <c r="D168" s="174"/>
      <c r="E168" s="84"/>
      <c r="F168" s="84"/>
    </row>
    <row r="169" spans="1:8" ht="21" customHeight="1" x14ac:dyDescent="0.2">
      <c r="A169" s="252" t="s">
        <v>209</v>
      </c>
      <c r="B169" s="253"/>
      <c r="C169" s="253"/>
      <c r="D169" s="253"/>
      <c r="E169" s="254"/>
    </row>
    <row r="170" spans="1:8" ht="24" x14ac:dyDescent="0.2">
      <c r="A170" s="141" t="s">
        <v>210</v>
      </c>
      <c r="B170" s="163" t="s">
        <v>211</v>
      </c>
      <c r="C170" s="141" t="s">
        <v>40</v>
      </c>
      <c r="D170" s="141" t="s">
        <v>83</v>
      </c>
      <c r="E170" s="141" t="s">
        <v>212</v>
      </c>
      <c r="F170" s="164"/>
    </row>
    <row r="171" spans="1:8" x14ac:dyDescent="0.2">
      <c r="A171" s="175" t="s">
        <v>50</v>
      </c>
      <c r="B171" s="176" t="s">
        <v>213</v>
      </c>
      <c r="C171" s="177">
        <f>SUM(D28,C71,D100,D135)</f>
        <v>3602.5629588255947</v>
      </c>
      <c r="D171" s="178">
        <f>C167</f>
        <v>0.30819999999999997</v>
      </c>
      <c r="E171" s="82">
        <f>(C171*D171)</f>
        <v>1110.3099039100482</v>
      </c>
      <c r="F171" s="179"/>
    </row>
    <row r="172" spans="1:8" x14ac:dyDescent="0.2">
      <c r="A172" s="31" t="s">
        <v>52</v>
      </c>
      <c r="B172" s="66" t="s">
        <v>214</v>
      </c>
      <c r="C172" s="38">
        <f>SUM(D29,D71,D101,F135)</f>
        <v>0</v>
      </c>
      <c r="D172" s="178">
        <f>C167</f>
        <v>0.30819999999999997</v>
      </c>
      <c r="E172" s="82">
        <f>(C172*D172)</f>
        <v>0</v>
      </c>
      <c r="F172" s="179"/>
    </row>
    <row r="173" spans="1:8" ht="24" x14ac:dyDescent="0.2">
      <c r="A173" s="180" t="s">
        <v>215</v>
      </c>
      <c r="B173" s="181" t="s">
        <v>211</v>
      </c>
      <c r="C173" s="180" t="s">
        <v>40</v>
      </c>
      <c r="D173" s="180" t="str">
        <f>D170</f>
        <v>Percentual (%)</v>
      </c>
      <c r="E173" s="180" t="s">
        <v>216</v>
      </c>
    </row>
    <row r="174" spans="1:8" x14ac:dyDescent="0.2">
      <c r="A174" s="126" t="s">
        <v>50</v>
      </c>
      <c r="B174" s="129" t="s">
        <v>217</v>
      </c>
      <c r="C174" s="182">
        <f>D155</f>
        <v>0</v>
      </c>
      <c r="D174" s="183">
        <f>D171</f>
        <v>0.30819999999999997</v>
      </c>
      <c r="E174" s="184">
        <f>D174*C174</f>
        <v>0</v>
      </c>
    </row>
    <row r="175" spans="1:8" x14ac:dyDescent="0.2">
      <c r="A175" s="126" t="s">
        <v>52</v>
      </c>
      <c r="B175" s="129" t="s">
        <v>218</v>
      </c>
      <c r="C175" s="182">
        <f>D156</f>
        <v>0</v>
      </c>
      <c r="D175" s="183">
        <f>D172</f>
        <v>0.30819999999999997</v>
      </c>
      <c r="E175" s="184">
        <f>D175*C175</f>
        <v>0</v>
      </c>
    </row>
    <row r="176" spans="1:8" x14ac:dyDescent="0.2">
      <c r="A176" s="185"/>
      <c r="B176" s="161"/>
      <c r="C176" s="164"/>
      <c r="D176" s="164"/>
      <c r="E176" s="164"/>
    </row>
    <row r="177" spans="1:8" x14ac:dyDescent="0.2">
      <c r="A177" s="307" t="s">
        <v>219</v>
      </c>
      <c r="B177" s="308"/>
      <c r="C177" s="308"/>
      <c r="D177" s="309"/>
      <c r="E177" s="27"/>
    </row>
    <row r="178" spans="1:8" ht="48" x14ac:dyDescent="0.2">
      <c r="A178" s="32"/>
      <c r="B178" s="32" t="s">
        <v>41</v>
      </c>
      <c r="C178" s="32" t="s">
        <v>220</v>
      </c>
      <c r="D178" s="32" t="s">
        <v>221</v>
      </c>
      <c r="E178" s="27"/>
    </row>
    <row r="179" spans="1:8" ht="24" x14ac:dyDescent="0.2">
      <c r="A179" s="126" t="s">
        <v>50</v>
      </c>
      <c r="B179" s="129" t="str">
        <f>A25</f>
        <v>Quadro Resumo Módulo 1 - Composição da Remuneração</v>
      </c>
      <c r="C179" s="81">
        <f>D28</f>
        <v>1830</v>
      </c>
      <c r="D179" s="81">
        <f>D29</f>
        <v>0</v>
      </c>
      <c r="E179" s="27"/>
    </row>
    <row r="180" spans="1:8" ht="36" x14ac:dyDescent="0.2">
      <c r="A180" s="126" t="s">
        <v>52</v>
      </c>
      <c r="B180" s="129" t="str">
        <f>A32</f>
        <v>Módulo 2 - Encargos e Benefícios Anuais, Mensais e Diários</v>
      </c>
      <c r="C180" s="81">
        <f>C71</f>
        <v>1707.752</v>
      </c>
      <c r="D180" s="81">
        <f>D71</f>
        <v>0</v>
      </c>
      <c r="E180" s="27"/>
    </row>
    <row r="181" spans="1:8" ht="36" x14ac:dyDescent="0.2">
      <c r="A181" s="126" t="s">
        <v>55</v>
      </c>
      <c r="B181" s="129" t="str">
        <f>A73</f>
        <v>Módulo 3. Custo de reposição do profissional  ausente</v>
      </c>
      <c r="C181" s="81">
        <f>D100</f>
        <v>5.6442921589284651</v>
      </c>
      <c r="D181" s="81">
        <f>D101</f>
        <v>0</v>
      </c>
      <c r="E181" s="27"/>
    </row>
    <row r="182" spans="1:8" ht="24" x14ac:dyDescent="0.2">
      <c r="A182" s="126" t="s">
        <v>97</v>
      </c>
      <c r="B182" s="129" t="str">
        <f>A103</f>
        <v xml:space="preserve">Módulo 4 - Uniforme, EPI´s, Diversos </v>
      </c>
      <c r="C182" s="81">
        <f>D135</f>
        <v>59.166666666666664</v>
      </c>
      <c r="D182" s="81">
        <f>F135</f>
        <v>0</v>
      </c>
      <c r="E182" s="27"/>
    </row>
    <row r="183" spans="1:8" ht="24" x14ac:dyDescent="0.2">
      <c r="A183" s="186" t="s">
        <v>101</v>
      </c>
      <c r="B183" s="187" t="str">
        <f>A169</f>
        <v>Módulo 6 - Custos Indiretos, Tributos e Lucro</v>
      </c>
      <c r="C183" s="188">
        <f>E171</f>
        <v>1110.3099039100482</v>
      </c>
      <c r="D183" s="188">
        <f>E172</f>
        <v>0</v>
      </c>
      <c r="E183" s="27"/>
    </row>
    <row r="184" spans="1:8" s="151" customFormat="1" x14ac:dyDescent="0.2">
      <c r="A184" s="189"/>
      <c r="B184" s="190" t="s">
        <v>32</v>
      </c>
      <c r="C184" s="191">
        <f>SUM(C179:C183)</f>
        <v>4712.8728627356431</v>
      </c>
      <c r="D184" s="191">
        <f>SUM(D179:D183)</f>
        <v>0</v>
      </c>
    </row>
    <row r="185" spans="1:8" s="151" customFormat="1" x14ac:dyDescent="0.2">
      <c r="A185" s="126"/>
      <c r="B185" s="129"/>
      <c r="C185" s="330"/>
      <c r="D185" s="331"/>
      <c r="E185" s="192"/>
    </row>
    <row r="186" spans="1:8" s="151" customFormat="1" x14ac:dyDescent="0.2">
      <c r="A186" s="185"/>
      <c r="B186" s="193"/>
      <c r="C186" s="194"/>
      <c r="D186" s="194"/>
      <c r="E186" s="192"/>
    </row>
    <row r="187" spans="1:8" x14ac:dyDescent="0.2">
      <c r="A187" s="332" t="s">
        <v>222</v>
      </c>
      <c r="B187" s="332"/>
      <c r="C187" s="332"/>
      <c r="D187" s="332"/>
      <c r="E187" s="332"/>
      <c r="F187" s="195"/>
      <c r="G187" s="195"/>
      <c r="H187" s="195"/>
    </row>
    <row r="188" spans="1:8" x14ac:dyDescent="0.2">
      <c r="A188" s="196"/>
      <c r="B188" s="196" t="s">
        <v>35</v>
      </c>
      <c r="C188" s="141" t="s">
        <v>223</v>
      </c>
      <c r="D188" s="197" t="s">
        <v>144</v>
      </c>
      <c r="E188" s="197" t="s">
        <v>224</v>
      </c>
    </row>
    <row r="189" spans="1:8" x14ac:dyDescent="0.2">
      <c r="A189" s="198"/>
      <c r="B189" s="31" t="s">
        <v>63</v>
      </c>
      <c r="C189" s="199">
        <v>1</v>
      </c>
      <c r="D189" s="200">
        <f>C184*C189</f>
        <v>4712.8728627356431</v>
      </c>
      <c r="E189" s="200">
        <f>SUM(D189*12)</f>
        <v>56554.474352827718</v>
      </c>
      <c r="G189" s="201"/>
      <c r="H189" s="201"/>
    </row>
    <row r="190" spans="1:8" x14ac:dyDescent="0.2">
      <c r="A190" s="202"/>
      <c r="B190" s="145"/>
      <c r="C190" s="145"/>
      <c r="D190" s="200">
        <f>SUM(D184*C190)</f>
        <v>0</v>
      </c>
      <c r="E190" s="200">
        <f>SUM(D190*12)</f>
        <v>0</v>
      </c>
      <c r="G190" s="203"/>
      <c r="H190" s="201"/>
    </row>
    <row r="191" spans="1:8" x14ac:dyDescent="0.2">
      <c r="A191" s="202"/>
      <c r="B191" s="145" t="s">
        <v>225</v>
      </c>
      <c r="C191" s="145" t="s">
        <v>226</v>
      </c>
      <c r="D191" s="204">
        <f>E175</f>
        <v>0</v>
      </c>
      <c r="E191" s="204">
        <f>D191*12</f>
        <v>0</v>
      </c>
      <c r="G191" s="203"/>
      <c r="H191" s="201"/>
    </row>
    <row r="192" spans="1:8" x14ac:dyDescent="0.2">
      <c r="A192" s="202"/>
      <c r="B192" s="145" t="s">
        <v>227</v>
      </c>
      <c r="C192" s="145" t="s">
        <v>226</v>
      </c>
      <c r="D192" s="204">
        <f>E174</f>
        <v>0</v>
      </c>
      <c r="E192" s="204">
        <f>D192*8*12</f>
        <v>0</v>
      </c>
      <c r="G192" s="203"/>
      <c r="H192" s="201"/>
    </row>
    <row r="193" spans="1:8" x14ac:dyDescent="0.2">
      <c r="A193" s="333" t="s">
        <v>228</v>
      </c>
      <c r="B193" s="334"/>
      <c r="C193" s="335"/>
      <c r="D193" s="205">
        <f>SUM(D189:D192)</f>
        <v>4712.8728627356431</v>
      </c>
      <c r="E193" s="206">
        <f>SUM(E189:E192)</f>
        <v>56554.474352827718</v>
      </c>
      <c r="G193" s="201"/>
      <c r="H193" s="201"/>
    </row>
    <row r="196" spans="1:8" x14ac:dyDescent="0.2">
      <c r="A196" s="336"/>
      <c r="B196" s="336"/>
      <c r="C196" s="336"/>
      <c r="D196" s="336"/>
      <c r="E196" s="336"/>
      <c r="F196" s="336"/>
      <c r="G196" s="336"/>
      <c r="H196" s="336"/>
    </row>
    <row r="197" spans="1:8" x14ac:dyDescent="0.2">
      <c r="A197" s="27"/>
    </row>
    <row r="198" spans="1:8" x14ac:dyDescent="0.2">
      <c r="A198" s="327"/>
      <c r="B198" s="327"/>
      <c r="C198" s="327"/>
      <c r="D198" s="327"/>
      <c r="E198" s="327"/>
      <c r="F198" s="327"/>
      <c r="G198" s="327"/>
      <c r="H198" s="327"/>
    </row>
    <row r="199" spans="1:8" x14ac:dyDescent="0.2">
      <c r="A199" s="337"/>
      <c r="B199" s="337"/>
      <c r="C199" s="337"/>
      <c r="D199" s="337"/>
      <c r="E199" s="337"/>
      <c r="F199" s="337"/>
      <c r="G199" s="337"/>
      <c r="H199" s="337"/>
    </row>
    <row r="200" spans="1:8" x14ac:dyDescent="0.2">
      <c r="A200" s="327"/>
      <c r="B200" s="327"/>
      <c r="C200" s="327"/>
      <c r="D200" s="327"/>
      <c r="E200" s="327"/>
      <c r="F200" s="327"/>
      <c r="G200" s="327"/>
      <c r="H200" s="327"/>
    </row>
    <row r="201" spans="1:8" x14ac:dyDescent="0.2">
      <c r="A201" s="192"/>
      <c r="B201" s="151"/>
      <c r="C201" s="151"/>
      <c r="D201" s="151"/>
      <c r="E201" s="151"/>
      <c r="F201" s="151"/>
      <c r="G201" s="151"/>
      <c r="H201" s="151"/>
    </row>
    <row r="202" spans="1:8" x14ac:dyDescent="0.2">
      <c r="A202" s="192"/>
    </row>
    <row r="203" spans="1:8" x14ac:dyDescent="0.2">
      <c r="A203" s="192"/>
    </row>
    <row r="211" spans="1:8" ht="15.75" x14ac:dyDescent="0.25">
      <c r="A211" s="328"/>
      <c r="B211" s="328"/>
      <c r="C211" s="328"/>
      <c r="D211" s="328"/>
      <c r="E211" s="328"/>
      <c r="F211" s="328"/>
      <c r="G211" s="328"/>
      <c r="H211" s="328"/>
    </row>
    <row r="212" spans="1:8" x14ac:dyDescent="0.2">
      <c r="A212" s="329"/>
      <c r="B212" s="329"/>
      <c r="C212" s="329"/>
      <c r="D212" s="329"/>
      <c r="E212" s="329"/>
      <c r="F212" s="329"/>
      <c r="G212" s="329"/>
      <c r="H212" s="329"/>
    </row>
    <row r="213" spans="1:8" x14ac:dyDescent="0.2">
      <c r="A213" s="329"/>
      <c r="B213" s="329"/>
      <c r="C213" s="329"/>
      <c r="D213" s="329"/>
      <c r="E213" s="329"/>
      <c r="F213" s="329"/>
      <c r="G213" s="329"/>
      <c r="H213" s="329"/>
    </row>
  </sheetData>
  <mergeCells count="122">
    <mergeCell ref="A200:H200"/>
    <mergeCell ref="A211:H211"/>
    <mergeCell ref="A212:H212"/>
    <mergeCell ref="A213:H213"/>
    <mergeCell ref="C185:D185"/>
    <mergeCell ref="A187:E187"/>
    <mergeCell ref="A193:C193"/>
    <mergeCell ref="A196:H196"/>
    <mergeCell ref="A198:H198"/>
    <mergeCell ref="A199:H199"/>
    <mergeCell ref="A166:B166"/>
    <mergeCell ref="C166:D166"/>
    <mergeCell ref="A167:B167"/>
    <mergeCell ref="C167:D167"/>
    <mergeCell ref="A169:E169"/>
    <mergeCell ref="A177:D177"/>
    <mergeCell ref="A159:G159"/>
    <mergeCell ref="A160:G160"/>
    <mergeCell ref="A162:D162"/>
    <mergeCell ref="A163:B163"/>
    <mergeCell ref="C163:D163"/>
    <mergeCell ref="A164:B164"/>
    <mergeCell ref="C164:D165"/>
    <mergeCell ref="A165:B165"/>
    <mergeCell ref="A150:E150"/>
    <mergeCell ref="F150:G150"/>
    <mergeCell ref="A151:E151"/>
    <mergeCell ref="F151:G151"/>
    <mergeCell ref="A153:D153"/>
    <mergeCell ref="A157:C157"/>
    <mergeCell ref="B129:E129"/>
    <mergeCell ref="F129:G129"/>
    <mergeCell ref="A131:F131"/>
    <mergeCell ref="A137:G137"/>
    <mergeCell ref="A144:E144"/>
    <mergeCell ref="F144:G144"/>
    <mergeCell ref="A123:E123"/>
    <mergeCell ref="F123:G123"/>
    <mergeCell ref="A124:E124"/>
    <mergeCell ref="F124:G124"/>
    <mergeCell ref="A128:E128"/>
    <mergeCell ref="F128:G128"/>
    <mergeCell ref="B110:E110"/>
    <mergeCell ref="F110:G110"/>
    <mergeCell ref="A116:E116"/>
    <mergeCell ref="F116:G116"/>
    <mergeCell ref="B117:E117"/>
    <mergeCell ref="F117:G117"/>
    <mergeCell ref="A90:B90"/>
    <mergeCell ref="A92:H92"/>
    <mergeCell ref="A98:D98"/>
    <mergeCell ref="A103:G103"/>
    <mergeCell ref="A109:E109"/>
    <mergeCell ref="F109:G109"/>
    <mergeCell ref="A71:B71"/>
    <mergeCell ref="A73:F73"/>
    <mergeCell ref="A74:F74"/>
    <mergeCell ref="A75:F75"/>
    <mergeCell ref="A77:A78"/>
    <mergeCell ref="B77:B78"/>
    <mergeCell ref="C77:C78"/>
    <mergeCell ref="D77:D78"/>
    <mergeCell ref="E77:G77"/>
    <mergeCell ref="F78:G78"/>
    <mergeCell ref="G55:G56"/>
    <mergeCell ref="A62:B62"/>
    <mergeCell ref="C62:D62"/>
    <mergeCell ref="A64:D64"/>
    <mergeCell ref="A65:A66"/>
    <mergeCell ref="B65:B66"/>
    <mergeCell ref="C65:C66"/>
    <mergeCell ref="D65:D66"/>
    <mergeCell ref="A52:B52"/>
    <mergeCell ref="C52:D52"/>
    <mergeCell ref="A54:E54"/>
    <mergeCell ref="A55:A56"/>
    <mergeCell ref="B55:B56"/>
    <mergeCell ref="C55:C56"/>
    <mergeCell ref="D55:D56"/>
    <mergeCell ref="E55:E56"/>
    <mergeCell ref="A39:B39"/>
    <mergeCell ref="A41:E41"/>
    <mergeCell ref="A42:A43"/>
    <mergeCell ref="B42:B43"/>
    <mergeCell ref="C42:C43"/>
    <mergeCell ref="D42:D43"/>
    <mergeCell ref="E42:E43"/>
    <mergeCell ref="A32:E32"/>
    <mergeCell ref="A33:E33"/>
    <mergeCell ref="A34:A35"/>
    <mergeCell ref="B34:B35"/>
    <mergeCell ref="C34:C35"/>
    <mergeCell ref="D34:D35"/>
    <mergeCell ref="E34:E35"/>
    <mergeCell ref="C22:D22"/>
    <mergeCell ref="E22:F22"/>
    <mergeCell ref="A23:F23"/>
    <mergeCell ref="A25:D25"/>
    <mergeCell ref="A26:A27"/>
    <mergeCell ref="B26:B27"/>
    <mergeCell ref="C26:C27"/>
    <mergeCell ref="D26:D27"/>
    <mergeCell ref="E26:E27"/>
    <mergeCell ref="C20:D20"/>
    <mergeCell ref="E20:F20"/>
    <mergeCell ref="C21:D21"/>
    <mergeCell ref="E21:F21"/>
    <mergeCell ref="B8:C8"/>
    <mergeCell ref="B9:C9"/>
    <mergeCell ref="B10:C10"/>
    <mergeCell ref="B11:C11"/>
    <mergeCell ref="A12:D12"/>
    <mergeCell ref="A13:B13"/>
    <mergeCell ref="A1:F1"/>
    <mergeCell ref="A2:D2"/>
    <mergeCell ref="A3:C3"/>
    <mergeCell ref="A4:C4"/>
    <mergeCell ref="A6:D6"/>
    <mergeCell ref="B7:C7"/>
    <mergeCell ref="A14:B14"/>
    <mergeCell ref="A15:B15"/>
    <mergeCell ref="A16:F16"/>
  </mergeCells>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Onibus 12 lugares</vt:lpstr>
      <vt:lpstr>Custo Mão de Obra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PREF-SECRETARIA</cp:lastModifiedBy>
  <cp:lastPrinted>2023-06-22T12:42:35Z</cp:lastPrinted>
  <dcterms:created xsi:type="dcterms:W3CDTF">2021-01-20T14:59:10Z</dcterms:created>
  <dcterms:modified xsi:type="dcterms:W3CDTF">2023-06-22T12:43:02Z</dcterms:modified>
</cp:coreProperties>
</file>